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bcdde494142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c99f5efc2b3d4560"/>
    <x:sheet xmlns:r="http://schemas.openxmlformats.org/officeDocument/2006/relationships" name="Assumptions" sheetId="2" r:id="R23528d224c3f460c"/>
    <x:sheet xmlns:r="http://schemas.openxmlformats.org/officeDocument/2006/relationships" name="Funnel" sheetId="3" r:id="Ra12c0ef8a6af4fbc"/>
    <x:sheet xmlns:r="http://schemas.openxmlformats.org/officeDocument/2006/relationships" name="Revenue" sheetId="4" r:id="R7ddff08d5a3b4a9a"/>
    <x:sheet xmlns:r="http://schemas.openxmlformats.org/officeDocument/2006/relationships" name="Cohorts" sheetId="5" r:id="R83179c464635463a"/>
    <x:sheet xmlns:r="http://schemas.openxmlformats.org/officeDocument/2006/relationships" name="P&amp;L and Cash" sheetId="6" r:id="R0a0d3b8ff9c44609"/>
    <x:sheet xmlns:r="http://schemas.openxmlformats.org/officeDocument/2006/relationships" name="Capacity" sheetId="7" r:id="Rbda74bb7ff8544a3"/>
    <x:sheet xmlns:r="http://schemas.openxmlformats.org/officeDocument/2006/relationships" name="Sensitivity" sheetId="8" r:id="R0bde4c4914574f8f"/>
    <x:sheet xmlns:r="http://schemas.openxmlformats.org/officeDocument/2006/relationships" name="Investment" sheetId="9" r:id="R2fb9f8c94e954840"/>
    <x:sheet xmlns:r="http://schemas.openxmlformats.org/officeDocument/2006/relationships" name="Audit" sheetId="10" r:id="R347ae8e254e14d7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200" formatCode="#,##0.0;[Red](#,##0.0);-"/>
    <x:numFmt numFmtId="201" formatCode="0.0%"/>
    <x:numFmt numFmtId="202" formatCode="0.00x"/>
    <x:numFmt numFmtId="203" formatCode="#,##0 &quot;₽&quot;;[Red](#,##0 &quot;₽&quot;);-"/>
    <x:numFmt numFmtId="204" formatCode="mmm-yy"/>
    <x:numFmt numFmtId="205" formatCode="#,##0;[Red](#,##0);-"/>
    <x:numFmt numFmtId="206" formatCode="0.0 &quot;мес.&quot;"/>
    <x:numFmt numFmtId="207" formatCode="0"/>
    <x:numFmt numFmtId="208" formatCode="#,#0.00"/>
    <x:numFmt numFmtId="209" formatCode="#,##0 &quot;₽&quot;;[Red](#,##0) &quot;₽&quot;;-"/>
    <x:numFmt numFmtId="210" formatCode="#,##0.00"/>
  </x:numFmts>
  <x:fonts count="25">
    <x:font>
      <x:sz val="11"/>
      <x:name val="Carlito"/>
    </x:font>
    <x:font>
      <x:b/>
      <x:sz val="18"/>
      <x:color rgb="FFFFFFFF"/>
      <x:name val="Aptos Display"/>
    </x:font>
    <x:font>
      <x:i/>
      <x:sz val="10"/>
      <x:color rgb="FF15231D"/>
      <x:name val="Aptos"/>
    </x:font>
    <x:font>
      <x:b/>
      <x:sz val="11"/>
      <x:color rgb="FF15231D"/>
      <x:name val="Carlito"/>
    </x:font>
    <x:font>
      <x:b/>
      <x:sz val="11"/>
      <x:color rgb="FF0000FF"/>
      <x:name val="Carlito"/>
    </x:font>
    <x:font>
      <x:b/>
      <x:sz val="10"/>
      <x:color rgb="FFFFFFFF"/>
      <x:name val="Aptos"/>
    </x:font>
    <x:font>
      <x:i/>
      <x:sz val="9"/>
      <x:color rgb="FF66736D"/>
      <x:name val="Aptos"/>
    </x:font>
    <x:font>
      <x:sz val="10"/>
      <x:color rgb="FF15231D"/>
      <x:name val="Aptos"/>
    </x:font>
    <x:font>
      <x:sz val="10"/>
      <x:color rgb="FF008000"/>
      <x:name val="Aptos"/>
    </x:font>
    <x:font>
      <x:sz val="10"/>
      <x:color rgb="FF0000FF"/>
      <x:name val="Aptos"/>
    </x:font>
    <x:font>
      <x:b/>
      <x:sz val="12"/>
      <x:color rgb="FF1F513E"/>
      <x:name val="Aptos"/>
    </x:font>
    <x:font>
      <x:b/>
      <x:sz val="11"/>
      <x:color rgb="FF1F513E"/>
      <x:name val="Carlito"/>
    </x:font>
    <x:font>
      <x:b/>
      <x:sz val="18"/>
      <x:color rgb="FFFFFFFF"/>
      <x:name val="Aptos"/>
    </x:font>
    <x:font>
      <x:b/>
      <x:sz val="11"/>
      <x:color rgb="FF15231D"/>
      <x:name val="Aptos"/>
    </x:font>
    <x:font>
      <x:b/>
      <x:sz val="11"/>
      <x:color rgb="FF0000FF"/>
      <x:name val="Aptos"/>
    </x:font>
    <x:font>
      <x:sz val="11"/>
      <x:name val="Aptos"/>
    </x:font>
    <x:font>
      <x:b/>
      <x:sz val="11"/>
      <x:color rgb="FF1F513E"/>
      <x:name val="Aptos"/>
    </x:font>
    <x:font>
      <x:b/>
      <x:sz val="10"/>
      <x:color rgb="FF1F513E"/>
      <x:name val="Aptos"/>
    </x:font>
    <x:font>
      <x:b/>
      <x:sz val="10"/>
      <x:color rgb="FF15231D"/>
      <x:name val="Aptos"/>
    </x:font>
    <x:font>
      <x:b/>
      <x:sz val="10"/>
      <x:color rgb="FF008000"/>
      <x:name val="Aptos"/>
    </x:font>
    <x:font>
      <x:b/>
      <x:sz val="11"/>
      <x:color rgb="FF008000"/>
      <x:name val="Carlito"/>
    </x:font>
    <x:font>
      <x:i/>
      <x:sz val="11"/>
      <x:color rgb="FF15231D"/>
      <x:name val="Carlito"/>
    </x:font>
    <x:font>
      <x:b/>
      <x:sz val="11"/>
      <x:color rgb="FF008000"/>
      <x:name val="Aptos"/>
    </x:font>
    <x:font>
      <x:i/>
      <x:sz val="11"/>
      <x:color rgb="FF15231D"/>
      <x:name val="Aptos"/>
    </x:font>
    <x:font>
      <x:b/>
      <x:i/>
      <x:sz val="12"/>
      <x:color rgb="FF1F513E"/>
      <x:name val="Aptos"/>
    </x:font>
  </x:fonts>
  <x:fills count="19">
    <x:fill>
      <x:patternFill patternType="none"/>
    </x:fill>
    <x:fill>
      <x:patternFill patternType="gray125"/>
    </x:fill>
    <x:fill>
      <x:patternFill patternType="solid">
        <x:fgColor rgb="FF1F513E"/>
      </x:patternFill>
    </x:fill>
    <x:fill>
      <x:patternFill patternType="solid">
        <x:fgColor rgb="FFF6F2E9"/>
      </x:patternFill>
    </x:fill>
    <x:fill>
      <x:patternFill patternType="solid">
        <x:fgColor rgb="FFFFF200"/>
      </x:patternFill>
    </x:fill>
    <x:fill>
      <x:patternFill patternType="solid">
        <x:fgColor rgb="FFDDEBFA"/>
      </x:patternFill>
    </x:fill>
    <x:fill>
      <x:patternFill patternType="solid">
        <x:fgColor rgb="FFE7EFEA"/>
      </x:patternFill>
    </x:fill>
    <x:fill>
      <x:patternFill patternType="solid">
        <x:fgColor rgb="FFFCE8D8"/>
      </x:patternFill>
    </x:fill>
    <x:fill>
      <x:patternFill patternType="solid">
        <x:fgColor rgb="FFEAF1F8"/>
      </x:patternFill>
    </x:fill>
    <x:fill>
      <x:patternFill patternType="solid">
        <x:fgColor rgb="FFFFF4CC"/>
      </x:patternFill>
    </x:fill>
    <x:fill>
      <x:patternFill patternType="solid">
        <x:fgColor rgb="FFEEE8F8"/>
      </x:patternFill>
    </x:fill>
    <x:fill>
      <x:patternFill patternType="solid">
        <x:fgColor rgb="FFF7F2EA"/>
      </x:patternFill>
    </x:fill>
    <x:fill>
      <x:patternFill patternType="solid">
        <x:fgColor rgb="FFD04A16"/>
      </x:patternFill>
    </x:fill>
    <x:fill>
      <x:patternFill patternType="solid">
        <x:fgColor rgb="FF17263A"/>
      </x:patternFill>
    </x:fill>
    <x:fill>
      <x:patternFill patternType="solid">
        <x:fgColor rgb="FF8A6D1B"/>
      </x:patternFill>
    </x:fill>
    <x:fill>
      <x:patternFill patternType="solid">
        <x:fgColor rgb="FF5B4B8A"/>
      </x:patternFill>
    </x:fill>
    <x:fill>
      <x:patternFill patternType="solid">
        <x:fgColor rgb="FFE7EFEA"/>
      </x:patternFill>
    </x:fill>
    <x:fill>
      <x:patternFill patternType="solid">
        <x:fgColor rgb="FF1F513E"/>
      </x:patternFill>
    </x:fill>
    <x:fill>
      <x:patternFill patternType="solid">
        <x:fgColor rgb="FFDDEBFA"/>
      </x:patternFill>
    </x:fill>
  </x:fills>
  <x:borders count="22">
    <x:border/>
    <x:border>
      <x:left style="thin">
        <x:color rgb="FFD8D0C2"/>
      </x:left>
      <x:right style="thin">
        <x:color rgb="FFD8D0C2"/>
      </x:right>
      <x:top style="thin">
        <x:color rgb="FFD8D0C2"/>
      </x:top>
      <x:bottom style="thin">
        <x:color rgb="FFD8D0C2"/>
      </x:bottom>
    </x:border>
    <x:border>
      <x:left style="thin">
        <x:color rgb="FFD04A16"/>
      </x:left>
      <x:right style="thin">
        <x:color rgb="FFD04A16"/>
      </x:right>
      <x:top style="thin">
        <x:color rgb="FFD04A16"/>
      </x:top>
      <x:bottom style="thin">
        <x:color rgb="FFD04A16"/>
      </x:bottom>
    </x:border>
    <x:border>
      <x:left style="thin">
        <x:color rgb="FFD8D0C2"/>
      </x:left>
      <x:right style="thin">
        <x:color rgb="FFD8D0C2"/>
      </x:right>
      <x:top style="thin">
        <x:color rgb="FFD8D0C2"/>
      </x:top>
      <x:bottom style="double">
        <x:color rgb="FF1F513E"/>
      </x:bottom>
    </x:border>
    <x:border>
      <x:left style="thin">
        <x:color rgb="FFD8D0C2"/>
      </x:left>
      <x:top style="thin">
        <x:color rgb="FFD8D0C2"/>
      </x:top>
    </x:border>
    <x:border>
      <x:top style="thin">
        <x:color rgb="FFD8D0C2"/>
      </x:top>
    </x:border>
    <x:border>
      <x:right style="thin">
        <x:color rgb="FFD8D0C2"/>
      </x:right>
      <x:top style="thin">
        <x:color rgb="FFD8D0C2"/>
      </x:top>
    </x:border>
    <x:border>
      <x:left style="thin">
        <x:color rgb="FFD8D0C2"/>
      </x:left>
    </x:border>
    <x:border>
      <x:right style="thin">
        <x:color rgb="FFD8D0C2"/>
      </x:right>
    </x:border>
    <x:border>
      <x:left style="thin">
        <x:color rgb="FFD8D0C2"/>
      </x:left>
      <x:bottom style="thin">
        <x:color rgb="FFD8D0C2"/>
      </x:bottom>
    </x:border>
    <x:border>
      <x:bottom style="thin">
        <x:color rgb="FFD8D0C2"/>
      </x:bottom>
    </x:border>
    <x:border>
      <x:right style="thin">
        <x:color rgb="FFD8D0C2"/>
      </x:right>
      <x:bottom style="thin">
        <x:color rgb="FFD8D0C2"/>
      </x:bottom>
    </x:border>
    <x:border>
      <x:left style="medium">
        <x:color rgb="FFD04A16"/>
      </x:left>
      <x:right style="medium">
        <x:color rgb="FFD04A16"/>
      </x:right>
      <x:top style="medium">
        <x:color rgb="FFD04A16"/>
      </x:top>
      <x:bottom style="medium">
        <x:color rgb="FFD04A16"/>
      </x:bottom>
    </x:border>
    <x:border>
      <x:left style="thin">
        <x:color rgb="FFD04A16"/>
      </x:left>
      <x:top style="thin">
        <x:color rgb="FFD04A16"/>
      </x:top>
    </x:border>
    <x:border>
      <x:top style="thin">
        <x:color rgb="FFD04A16"/>
      </x:top>
    </x:border>
    <x:border>
      <x:right style="thin">
        <x:color rgb="FFD04A16"/>
      </x:right>
      <x:top style="thin">
        <x:color rgb="FFD04A16"/>
      </x:top>
    </x:border>
    <x:border>
      <x:left style="thin">
        <x:color rgb="FFD04A16"/>
      </x:left>
      <x:bottom style="thin">
        <x:color rgb="FFD04A16"/>
      </x:bottom>
    </x:border>
    <x:border>
      <x:bottom style="thin">
        <x:color rgb="FFD04A16"/>
      </x:bottom>
    </x:border>
    <x:border>
      <x:right style="thin">
        <x:color rgb="FFD04A16"/>
      </x:right>
      <x:bottom style="thin">
        <x:color rgb="FFD04A16"/>
      </x:bottom>
    </x:border>
    <x:border>
      <x:left style="thin">
        <x:color rgb="FFD8D0C2"/>
      </x:left>
      <x:top style="thin">
        <x:color rgb="FFD8D0C2"/>
      </x:top>
      <x:bottom style="thin">
        <x:color rgb="FFD8D0C2"/>
      </x:bottom>
    </x:border>
    <x:border>
      <x:top style="thin">
        <x:color rgb="FFD8D0C2"/>
      </x:top>
      <x:bottom style="thin">
        <x:color rgb="FFD8D0C2"/>
      </x:bottom>
    </x:border>
    <x:border>
      <x:right style="thin">
        <x:color rgb="FFD8D0C2"/>
      </x:right>
      <x:top style="thin">
        <x:color rgb="FFD8D0C2"/>
      </x:top>
      <x:bottom style="thin">
        <x:color rgb="FFD8D0C2"/>
      </x:bottom>
    </x:border>
  </x:borders>
  <x:cellStyleXfs count="1">
    <x:xf numFmtId="0" fontId="0" fillId="0" borderId="0"/>
  </x:cellStyleXfs>
  <x:cellXfs count="33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/>
    </x:xf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horizontal="center" wrapText="1"/>
    </x:xf>
    <x:xf numFmtId="0" fontId="5" fillId="2" borderId="1" xfId="0" applyNumberFormat="1" applyFont="1" applyFill="1" applyBorder="1" applyAlignment="1">
      <x:alignment horizontal="center" vertical="center" wrapText="1"/>
    </x:xf>
    <x:xf numFmtId="0" fontId="6" fillId="3" borderId="0" xfId="0" applyNumberFormat="1" applyFont="1" applyFill="1" applyBorder="1"/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6" fillId="3" borderId="1" xfId="0" applyNumberFormat="1" applyFont="1" applyFill="1" applyBorder="1" applyAlignment="1">
      <x:alignment vertical="top" wrapText="1"/>
    </x:xf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wrapText="1"/>
    </x:xf>
    <x:xf numFmtId="0" fontId="7" fillId="0" borderId="1" xfId="0" applyNumberFormat="1" applyFont="1" applyFill="1" applyBorder="1" applyAlignment="1">
      <x:alignment vertical="top" wrapText="1"/>
    </x:xf>
    <x:xf numFmtId="0" fontId="8" fillId="0" borderId="1" xfId="0" applyNumberFormat="1" applyFont="1" applyFill="1" applyBorder="1" applyAlignment="1">
      <x:alignment vertical="top" wrapText="1"/>
    </x:xf>
    <x:xf numFmtId="0" fontId="9" fillId="0" borderId="1" xfId="0" applyNumberFormat="1" applyFont="1" applyFill="1" applyBorder="1" applyAlignment="1">
      <x:alignment vertical="top" wrapText="1"/>
    </x:xf>
    <x:xf numFmtId="200" fontId="8" fillId="0" borderId="1" xfId="0" applyNumberFormat="1" applyFont="1" applyFill="1" applyBorder="1" applyAlignment="1">
      <x:alignment vertical="top" wrapText="1"/>
    </x:xf>
    <x:xf numFmtId="200" fontId="9" fillId="0" borderId="1" xfId="0" applyNumberFormat="1" applyFont="1" applyFill="1" applyBorder="1" applyAlignment="1">
      <x:alignment vertical="top" wrapText="1"/>
    </x:xf>
    <x:xf numFmtId="201" fontId="8" fillId="0" borderId="1" xfId="0" applyNumberFormat="1" applyFont="1" applyFill="1" applyBorder="1" applyAlignment="1">
      <x:alignment vertical="top" wrapText="1"/>
    </x:xf>
    <x:xf numFmtId="201" fontId="9" fillId="0" borderId="1" xfId="0" applyNumberFormat="1" applyFont="1" applyFill="1" applyBorder="1" applyAlignment="1">
      <x:alignment vertical="top" wrapText="1"/>
    </x:xf>
    <x:xf numFmtId="202" fontId="8" fillId="0" borderId="1" xfId="0" applyNumberFormat="1" applyFont="1" applyFill="1" applyBorder="1" applyAlignment="1">
      <x:alignment vertical="top" wrapText="1"/>
    </x:xf>
    <x:xf numFmtId="202" fontId="9" fillId="0" borderId="1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10" fillId="6" borderId="0" xfId="0" applyNumberFormat="1" applyFont="1" applyFill="1" applyBorder="1"/>
    <x:xf numFmtId="0" fontId="10" fillId="6" borderId="0" xfId="0" applyNumberFormat="1" applyFont="1" applyFill="1" applyBorder="1" applyAlignment="1">
      <x:alignment vertical="center"/>
    </x:xf>
    <x:xf numFmtId="0" fontId="11" fillId="6" borderId="0" xfId="0" applyNumberFormat="1" applyFont="1" applyFill="1" applyBorder="1"/>
    <x:xf numFmtId="0" fontId="11" fillId="6" borderId="1" xfId="0" applyNumberFormat="1" applyFont="1" applyFill="1" applyBorder="1"/>
    <x:xf numFmtId="201" fontId="7" fillId="0" borderId="1" xfId="0" applyNumberFormat="1" applyFont="1" applyFill="1" applyBorder="1" applyAlignment="1">
      <x:alignment vertical="top" wrapText="1"/>
    </x:xf>
    <x:xf numFmtId="201" fontId="11" fillId="6" borderId="1" xfId="0" applyNumberFormat="1" applyFont="1" applyFill="1" applyBorder="1"/>
    <x:xf numFmtId="203" fontId="7" fillId="0" borderId="1" xfId="0" applyNumberFormat="1" applyFont="1" applyFill="1" applyBorder="1" applyAlignment="1">
      <x:alignment vertical="top" wrapText="1"/>
    </x:xf>
    <x:xf numFmtId="203" fontId="8" fillId="0" borderId="1" xfId="0" applyNumberFormat="1" applyFont="1" applyFill="1" applyBorder="1" applyAlignment="1">
      <x:alignment vertical="top" wrapText="1"/>
    </x:xf>
    <x:xf numFmtId="203" fontId="9" fillId="0" borderId="1" xfId="0" applyNumberFormat="1" applyFont="1" applyFill="1" applyBorder="1" applyAlignment="1">
      <x:alignment vertical="top" wrapText="1"/>
    </x:xf>
    <x:xf numFmtId="0" fontId="12" fillId="2" borderId="0" xfId="0" applyNumberFormat="1" applyFont="1" applyFill="1" applyBorder="1" applyAlignment="1">
      <x:alignment vertical="center"/>
    </x:xf>
    <x:xf numFmtId="0" fontId="13" fillId="4" borderId="0" xfId="0" applyNumberFormat="1" applyFont="1" applyFill="1" applyBorder="1" applyAlignment="1">
      <x:alignment vertical="center"/>
    </x:xf>
    <x:xf numFmtId="0" fontId="14" fillId="5" borderId="0" xfId="0" applyNumberFormat="1" applyFont="1" applyFill="1" applyBorder="1" applyAlignment="1">
      <x:alignment horizontal="center" vertical="center"/>
    </x:xf>
    <x:xf numFmtId="0" fontId="15" fillId="0" borderId="0" xfId="0" applyNumberFormat="1" applyFont="1" applyFill="1" applyBorder="1"/>
    <x:xf numFmtId="0" fontId="16" fillId="6" borderId="1" xfId="0" applyNumberFormat="1" applyFont="1" applyFill="1" applyBorder="1"/>
    <x:xf numFmtId="201" fontId="16" fillId="6" borderId="1" xfId="0" applyNumberFormat="1" applyFont="1" applyFill="1" applyBorder="1"/>
    <x:xf numFmtId="204" fontId="0" fillId="0" borderId="0" xfId="0" applyNumberFormat="1" applyFont="1" applyFill="1" applyBorder="1"/>
    <x:xf numFmtId="204" fontId="7" fillId="0" borderId="0" xfId="0" applyNumberFormat="1" applyFont="1" applyFill="1" applyBorder="1"/>
    <x:xf numFmtId="204" fontId="7" fillId="0" borderId="1" xfId="0" applyNumberFormat="1" applyFont="1" applyFill="1" applyBorder="1"/>
    <x:xf numFmtId="204" fontId="7" fillId="0" borderId="1" xfId="0" applyNumberFormat="1" applyFont="1" applyFill="1" applyBorder="1" applyAlignment="1">
      <x:alignment wrapText="0"/>
    </x:xf>
    <x:xf numFmtId="0" fontId="7" fillId="0" borderId="1" xfId="0" applyNumberFormat="1" applyFont="1" applyFill="1" applyBorder="1" applyAlignment="1">
      <x:alignment wrapText="0"/>
    </x:xf>
    <x:xf numFmtId="204" fontId="7" fillId="0" borderId="1" xfId="0" applyNumberFormat="1" applyFont="1" applyFill="1" applyBorder="1" applyAlignment="1">
      <x:alignment vertical="center" wrapText="0"/>
    </x:xf>
    <x:xf numFmtId="0" fontId="7" fillId="0" borderId="1" xfId="0" applyNumberFormat="1" applyFont="1" applyFill="1" applyBorder="1" applyAlignment="1">
      <x:alignment vertical="center" wrapText="0"/>
    </x:xf>
    <x:xf numFmtId="203" fontId="7" fillId="0" borderId="1" xfId="0" applyNumberFormat="1" applyFont="1" applyFill="1" applyBorder="1" applyAlignment="1">
      <x:alignment vertical="center" wrapText="0"/>
    </x:xf>
    <x:xf numFmtId="205" fontId="7" fillId="0" borderId="1" xfId="0" applyNumberFormat="1" applyFont="1" applyFill="1" applyBorder="1" applyAlignment="1">
      <x:alignment vertical="center" wrapText="0"/>
    </x:xf>
    <x:xf numFmtId="201" fontId="7" fillId="0" borderId="1" xfId="0" applyNumberFormat="1" applyFont="1" applyFill="1" applyBorder="1" applyAlignment="1">
      <x:alignment vertical="center" wrapText="0"/>
    </x:xf>
    <x:xf numFmtId="203" fontId="8" fillId="0" borderId="1" xfId="0" applyNumberFormat="1" applyFont="1" applyFill="1" applyBorder="1" applyAlignment="1">
      <x:alignment vertical="center" wrapText="0"/>
    </x:xf>
    <x:xf numFmtId="0" fontId="7" fillId="7" borderId="1" xfId="0" applyNumberFormat="1" applyFont="1" applyFill="1" applyBorder="1" applyAlignment="1">
      <x:alignment vertical="center" wrapText="0"/>
    </x:xf>
    <x:xf numFmtId="203" fontId="7" fillId="7" borderId="1" xfId="0" applyNumberFormat="1" applyFont="1" applyFill="1" applyBorder="1" applyAlignment="1">
      <x:alignment vertical="center" wrapText="0"/>
    </x:xf>
    <x:xf numFmtId="205" fontId="7" fillId="7" borderId="1" xfId="0" applyNumberFormat="1" applyFont="1" applyFill="1" applyBorder="1" applyAlignment="1">
      <x:alignment vertical="center" wrapText="0"/>
    </x:xf>
    <x:xf numFmtId="201" fontId="7" fillId="7" borderId="1" xfId="0" applyNumberFormat="1" applyFont="1" applyFill="1" applyBorder="1" applyAlignment="1">
      <x:alignment vertical="center" wrapText="0"/>
    </x:xf>
    <x:xf numFmtId="0" fontId="7" fillId="8" borderId="1" xfId="0" applyNumberFormat="1" applyFont="1" applyFill="1" applyBorder="1" applyAlignment="1">
      <x:alignment vertical="center" wrapText="0"/>
    </x:xf>
    <x:xf numFmtId="203" fontId="7" fillId="8" borderId="1" xfId="0" applyNumberFormat="1" applyFont="1" applyFill="1" applyBorder="1" applyAlignment="1">
      <x:alignment vertical="center" wrapText="0"/>
    </x:xf>
    <x:xf numFmtId="205" fontId="7" fillId="8" borderId="1" xfId="0" applyNumberFormat="1" applyFont="1" applyFill="1" applyBorder="1" applyAlignment="1">
      <x:alignment vertical="center" wrapText="0"/>
    </x:xf>
    <x:xf numFmtId="201" fontId="7" fillId="8" borderId="1" xfId="0" applyNumberFormat="1" applyFont="1" applyFill="1" applyBorder="1" applyAlignment="1">
      <x:alignment vertical="center" wrapText="0"/>
    </x:xf>
    <x:xf numFmtId="0" fontId="7" fillId="6" borderId="1" xfId="0" applyNumberFormat="1" applyFont="1" applyFill="1" applyBorder="1" applyAlignment="1">
      <x:alignment vertical="center" wrapText="0"/>
    </x:xf>
    <x:xf numFmtId="203" fontId="7" fillId="6" borderId="1" xfId="0" applyNumberFormat="1" applyFont="1" applyFill="1" applyBorder="1" applyAlignment="1">
      <x:alignment vertical="center" wrapText="0"/>
    </x:xf>
    <x:xf numFmtId="205" fontId="7" fillId="6" borderId="1" xfId="0" applyNumberFormat="1" applyFont="1" applyFill="1" applyBorder="1" applyAlignment="1">
      <x:alignment vertical="center" wrapText="0"/>
    </x:xf>
    <x:xf numFmtId="201" fontId="7" fillId="6" borderId="1" xfId="0" applyNumberFormat="1" applyFont="1" applyFill="1" applyBorder="1" applyAlignment="1">
      <x:alignment vertical="center" wrapText="0"/>
    </x:xf>
    <x:xf numFmtId="0" fontId="7" fillId="9" borderId="1" xfId="0" applyNumberFormat="1" applyFont="1" applyFill="1" applyBorder="1" applyAlignment="1">
      <x:alignment vertical="center" wrapText="0"/>
    </x:xf>
    <x:xf numFmtId="203" fontId="7" fillId="9" borderId="1" xfId="0" applyNumberFormat="1" applyFont="1" applyFill="1" applyBorder="1" applyAlignment="1">
      <x:alignment vertical="center" wrapText="0"/>
    </x:xf>
    <x:xf numFmtId="205" fontId="7" fillId="9" borderId="1" xfId="0" applyNumberFormat="1" applyFont="1" applyFill="1" applyBorder="1" applyAlignment="1">
      <x:alignment vertical="center" wrapText="0"/>
    </x:xf>
    <x:xf numFmtId="201" fontId="7" fillId="9" borderId="1" xfId="0" applyNumberFormat="1" applyFont="1" applyFill="1" applyBorder="1" applyAlignment="1">
      <x:alignment vertical="center" wrapText="0"/>
    </x:xf>
    <x:xf numFmtId="0" fontId="7" fillId="10" borderId="1" xfId="0" applyNumberFormat="1" applyFont="1" applyFill="1" applyBorder="1" applyAlignment="1">
      <x:alignment vertical="center" wrapText="0"/>
    </x:xf>
    <x:xf numFmtId="203" fontId="7" fillId="10" borderId="1" xfId="0" applyNumberFormat="1" applyFont="1" applyFill="1" applyBorder="1" applyAlignment="1">
      <x:alignment vertical="center" wrapText="0"/>
    </x:xf>
    <x:xf numFmtId="205" fontId="7" fillId="10" borderId="1" xfId="0" applyNumberFormat="1" applyFont="1" applyFill="1" applyBorder="1" applyAlignment="1">
      <x:alignment vertical="center" wrapText="0"/>
    </x:xf>
    <x:xf numFmtId="201" fontId="7" fillId="10" borderId="1" xfId="0" applyNumberFormat="1" applyFont="1" applyFill="1" applyBorder="1" applyAlignment="1">
      <x:alignment vertical="center" wrapText="0"/>
    </x:xf>
    <x:xf numFmtId="0" fontId="7" fillId="11" borderId="1" xfId="0" applyNumberFormat="1" applyFont="1" applyFill="1" applyBorder="1" applyAlignment="1">
      <x:alignment vertical="top" wrapText="1"/>
    </x:xf>
    <x:xf numFmtId="0" fontId="7" fillId="6" borderId="1" xfId="0" applyNumberFormat="1" applyFont="1" applyFill="1" applyBorder="1" applyAlignment="1">
      <x:alignment vertical="top" wrapText="1"/>
    </x:xf>
    <x:xf numFmtId="0" fontId="17" fillId="6" borderId="1" xfId="0" applyNumberFormat="1" applyFont="1" applyFill="1" applyBorder="1" applyAlignment="1">
      <x:alignment vertical="top" wrapText="1"/>
    </x:xf>
    <x:xf numFmtId="203" fontId="7" fillId="11" borderId="1" xfId="0" applyNumberFormat="1" applyFont="1" applyFill="1" applyBorder="1" applyAlignment="1">
      <x:alignment vertical="top" wrapText="1"/>
    </x:xf>
    <x:xf numFmtId="203" fontId="17" fillId="6" borderId="1" xfId="0" applyNumberFormat="1" applyFont="1" applyFill="1" applyBorder="1" applyAlignment="1">
      <x:alignment vertical="top" wrapText="1"/>
    </x:xf>
    <x:xf numFmtId="201" fontId="7" fillId="11" borderId="1" xfId="0" applyNumberFormat="1" applyFont="1" applyFill="1" applyBorder="1" applyAlignment="1">
      <x:alignment vertical="top" wrapText="1"/>
    </x:xf>
    <x:xf numFmtId="201" fontId="17" fillId="6" borderId="1" xfId="0" applyNumberFormat="1" applyFont="1" applyFill="1" applyBorder="1" applyAlignment="1">
      <x:alignment vertical="top" wrapText="1"/>
    </x:xf>
    <x:xf numFmtId="202" fontId="7" fillId="0" borderId="1" xfId="0" applyNumberFormat="1" applyFont="1" applyFill="1" applyBorder="1" applyAlignment="1">
      <x:alignment vertical="top" wrapText="1"/>
    </x:xf>
    <x:xf numFmtId="202" fontId="7" fillId="11" borderId="1" xfId="0" applyNumberFormat="1" applyFont="1" applyFill="1" applyBorder="1" applyAlignment="1">
      <x:alignment vertical="top" wrapText="1"/>
    </x:xf>
    <x:xf numFmtId="202" fontId="17" fillId="6" borderId="1" xfId="0" applyNumberFormat="1" applyFont="1" applyFill="1" applyBorder="1" applyAlignment="1">
      <x:alignment vertical="top" wrapText="1"/>
    </x:xf>
    <x:xf numFmtId="206" fontId="7" fillId="0" borderId="1" xfId="0" applyNumberFormat="1" applyFont="1" applyFill="1" applyBorder="1" applyAlignment="1">
      <x:alignment vertical="top" wrapText="1"/>
    </x:xf>
    <x:xf numFmtId="206" fontId="7" fillId="11" borderId="1" xfId="0" applyNumberFormat="1" applyFont="1" applyFill="1" applyBorder="1" applyAlignment="1">
      <x:alignment vertical="top" wrapText="1"/>
    </x:xf>
    <x:xf numFmtId="206" fontId="17" fillId="6" borderId="1" xfId="0" applyNumberFormat="1" applyFont="1" applyFill="1" applyBorder="1" applyAlignment="1">
      <x:alignment vertical="top" wrapText="1"/>
    </x:xf>
    <x:xf numFmtId="205" fontId="7" fillId="0" borderId="1" xfId="0" applyNumberFormat="1" applyFont="1" applyFill="1" applyBorder="1" applyAlignment="1">
      <x:alignment vertical="top" wrapText="1"/>
    </x:xf>
    <x:xf numFmtId="205" fontId="7" fillId="11" borderId="1" xfId="0" applyNumberFormat="1" applyFont="1" applyFill="1" applyBorder="1" applyAlignment="1">
      <x:alignment vertical="top" wrapText="1"/>
    </x:xf>
    <x:xf numFmtId="205" fontId="17" fillId="6" borderId="1" xfId="0" applyNumberFormat="1" applyFont="1" applyFill="1" applyBorder="1" applyAlignment="1">
      <x:alignment vertical="top" wrapText="1"/>
    </x:xf>
    <x:xf numFmtId="0" fontId="18" fillId="7" borderId="1" xfId="0" applyNumberFormat="1" applyFont="1" applyFill="1" applyBorder="1" applyAlignment="1">
      <x:alignment vertical="center" wrapText="0"/>
    </x:xf>
    <x:xf numFmtId="0" fontId="18" fillId="7" borderId="2" xfId="0" applyNumberFormat="1" applyFont="1" applyFill="1" applyBorder="1" applyAlignment="1">
      <x:alignment vertical="center" wrapText="0"/>
    </x:xf>
    <x:xf numFmtId="0" fontId="17" fillId="6" borderId="1" xfId="0" applyNumberFormat="1" applyFont="1" applyFill="1" applyBorder="1" applyAlignment="1">
      <x:alignment vertical="center" wrapText="0"/>
    </x:xf>
    <x:xf numFmtId="205" fontId="18" fillId="7" borderId="2" xfId="0" applyNumberFormat="1" applyFont="1" applyFill="1" applyBorder="1" applyAlignment="1">
      <x:alignment vertical="center" wrapText="0"/>
    </x:xf>
    <x:xf numFmtId="205" fontId="17" fillId="6" borderId="1" xfId="0" applyNumberFormat="1" applyFont="1" applyFill="1" applyBorder="1" applyAlignment="1">
      <x:alignment vertical="center" wrapText="0"/>
    </x:xf>
    <x:xf numFmtId="201" fontId="18" fillId="7" borderId="2" xfId="0" applyNumberFormat="1" applyFont="1" applyFill="1" applyBorder="1" applyAlignment="1">
      <x:alignment vertical="center" wrapText="0"/>
    </x:xf>
    <x:xf numFmtId="201" fontId="17" fillId="6" borderId="1" xfId="0" applyNumberFormat="1" applyFont="1" applyFill="1" applyBorder="1" applyAlignment="1">
      <x:alignment vertical="center" wrapText="0"/>
    </x:xf>
    <x:xf numFmtId="203" fontId="18" fillId="7" borderId="2" xfId="0" applyNumberFormat="1" applyFont="1" applyFill="1" applyBorder="1" applyAlignment="1">
      <x:alignment vertical="center" wrapText="0"/>
    </x:xf>
    <x:xf numFmtId="203" fontId="17" fillId="6" borderId="1" xfId="0" applyNumberFormat="1" applyFont="1" applyFill="1" applyBorder="1" applyAlignment="1">
      <x:alignment vertical="center" wrapText="0"/>
    </x:xf>
    <x:xf numFmtId="202" fontId="7" fillId="0" borderId="1" xfId="0" applyNumberFormat="1" applyFont="1" applyFill="1" applyBorder="1" applyAlignment="1">
      <x:alignment vertical="center" wrapText="0"/>
    </x:xf>
    <x:xf numFmtId="202" fontId="18" fillId="7" borderId="2" xfId="0" applyNumberFormat="1" applyFont="1" applyFill="1" applyBorder="1" applyAlignment="1">
      <x:alignment vertical="center" wrapText="0"/>
    </x:xf>
    <x:xf numFmtId="202" fontId="17" fillId="6" borderId="1" xfId="0" applyNumberFormat="1" applyFont="1" applyFill="1" applyBorder="1" applyAlignment="1">
      <x:alignment vertical="center" wrapText="0"/>
    </x:xf>
    <x:xf numFmtId="204" fontId="5" fillId="2" borderId="1" xfId="0" applyNumberFormat="1" applyFont="1" applyFill="1" applyBorder="1" applyAlignment="1">
      <x:alignment horizontal="center" vertical="center" wrapText="1"/>
    </x:xf>
    <x:xf numFmtId="0" fontId="7" fillId="0" borderId="1" xfId="0" applyNumberFormat="1" applyFont="1" applyFill="1" applyBorder="1" applyAlignment="1">
      <x:alignment vertical="center" wrapText="1"/>
    </x:xf>
    <x:xf numFmtId="0" fontId="18" fillId="0" borderId="1" xfId="0" applyNumberFormat="1" applyFont="1" applyFill="1" applyBorder="1" applyAlignment="1">
      <x:alignment vertical="top" wrapText="1"/>
    </x:xf>
    <x:xf numFmtId="0" fontId="18" fillId="0" borderId="1" xfId="0" applyNumberFormat="1" applyFont="1" applyFill="1" applyBorder="1" applyAlignment="1">
      <x:alignment vertical="center" wrapText="0"/>
    </x:xf>
    <x:xf numFmtId="0" fontId="18" fillId="0" borderId="3" xfId="0" applyNumberFormat="1" applyFont="1" applyFill="1" applyBorder="1" applyAlignment="1">
      <x:alignment vertical="top" wrapText="1"/>
    </x:xf>
    <x:xf numFmtId="0" fontId="18" fillId="0" borderId="3" xfId="0" applyNumberFormat="1" applyFont="1" applyFill="1" applyBorder="1" applyAlignment="1">
      <x:alignment vertical="center" wrapText="0"/>
    </x:xf>
    <x:xf numFmtId="203" fontId="18" fillId="0" borderId="3" xfId="0" applyNumberFormat="1" applyFont="1" applyFill="1" applyBorder="1" applyAlignment="1">
      <x:alignment vertical="center" wrapText="0"/>
    </x:xf>
    <x:xf numFmtId="207" fontId="7" fillId="0" borderId="1" xfId="0" applyNumberFormat="1" applyFont="1" applyFill="1" applyBorder="1" applyAlignment="1">
      <x:alignment vertical="center" wrapText="0"/>
    </x:xf>
    <x:xf numFmtId="0" fontId="5" fillId="12" borderId="1" xfId="0" applyNumberFormat="1" applyFont="1" applyFill="1" applyBorder="1" applyAlignment="1">
      <x:alignment horizontal="center" vertical="center" wrapText="1"/>
    </x:xf>
    <x:xf numFmtId="203" fontId="18" fillId="7" borderId="3" xfId="0" applyNumberFormat="1" applyFont="1" applyFill="1" applyBorder="1" applyAlignment="1">
      <x:alignment vertical="center" wrapText="0"/>
    </x:xf>
    <x:xf numFmtId="207" fontId="7" fillId="7" borderId="1" xfId="0" applyNumberFormat="1" applyFont="1" applyFill="1" applyBorder="1" applyAlignment="1">
      <x:alignment vertical="center" wrapText="0"/>
    </x:xf>
    <x:xf numFmtId="0" fontId="5" fillId="13" borderId="1" xfId="0" applyNumberFormat="1" applyFont="1" applyFill="1" applyBorder="1" applyAlignment="1">
      <x:alignment horizontal="center" vertical="center" wrapText="1"/>
    </x:xf>
    <x:xf numFmtId="203" fontId="18" fillId="8" borderId="3" xfId="0" applyNumberFormat="1" applyFont="1" applyFill="1" applyBorder="1" applyAlignment="1">
      <x:alignment vertical="center" wrapText="0"/>
    </x:xf>
    <x:xf numFmtId="207" fontId="7" fillId="8" borderId="1" xfId="0" applyNumberFormat="1" applyFont="1" applyFill="1" applyBorder="1" applyAlignment="1">
      <x:alignment vertical="center" wrapText="0"/>
    </x:xf>
    <x:xf numFmtId="203" fontId="18" fillId="6" borderId="3" xfId="0" applyNumberFormat="1" applyFont="1" applyFill="1" applyBorder="1" applyAlignment="1">
      <x:alignment vertical="center" wrapText="0"/>
    </x:xf>
    <x:xf numFmtId="207" fontId="7" fillId="6" borderId="1" xfId="0" applyNumberFormat="1" applyFont="1" applyFill="1" applyBorder="1" applyAlignment="1">
      <x:alignment vertical="center" wrapText="0"/>
    </x:xf>
    <x:xf numFmtId="0" fontId="5" fillId="14" borderId="1" xfId="0" applyNumberFormat="1" applyFont="1" applyFill="1" applyBorder="1" applyAlignment="1">
      <x:alignment horizontal="center" vertical="center" wrapText="1"/>
    </x:xf>
    <x:xf numFmtId="203" fontId="18" fillId="9" borderId="3" xfId="0" applyNumberFormat="1" applyFont="1" applyFill="1" applyBorder="1" applyAlignment="1">
      <x:alignment vertical="center" wrapText="0"/>
    </x:xf>
    <x:xf numFmtId="207" fontId="7" fillId="9" borderId="1" xfId="0" applyNumberFormat="1" applyFont="1" applyFill="1" applyBorder="1" applyAlignment="1">
      <x:alignment vertical="center" wrapText="0"/>
    </x:xf>
    <x:xf numFmtId="0" fontId="5" fillId="15" borderId="1" xfId="0" applyNumberFormat="1" applyFont="1" applyFill="1" applyBorder="1" applyAlignment="1">
      <x:alignment horizontal="center" vertical="center" wrapText="1"/>
    </x:xf>
    <x:xf numFmtId="203" fontId="18" fillId="10" borderId="3" xfId="0" applyNumberFormat="1" applyFont="1" applyFill="1" applyBorder="1" applyAlignment="1">
      <x:alignment vertical="center" wrapText="0"/>
    </x:xf>
    <x:xf numFmtId="207" fontId="7" fillId="10" borderId="1" xfId="0" applyNumberFormat="1" applyFont="1" applyFill="1" applyBorder="1" applyAlignment="1">
      <x:alignment vertical="center" wrapText="0"/>
    </x:xf>
    <x:xf numFmtId="203" fontId="19" fillId="0" borderId="3" xfId="0" applyNumberFormat="1" applyFont="1" applyFill="1" applyBorder="1" applyAlignment="1">
      <x:alignment vertical="center" wrapText="0"/>
    </x:xf>
    <x:xf numFmtId="204" fontId="7" fillId="0" borderId="1" xfId="0" applyNumberFormat="1" applyFont="1" applyFill="1" applyBorder="1" applyAlignment="1">
      <x:alignment vertical="top" wrapText="1"/>
    </x:xf>
    <x:xf numFmtId="200" fontId="7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20" fillId="5" borderId="0" xfId="0" applyNumberFormat="1" applyFont="1" applyFill="1" applyBorder="1"/>
    <x:xf numFmtId="0" fontId="20" fillId="5" borderId="0" xfId="0" applyNumberFormat="1" applyFont="1" applyFill="1" applyBorder="1" applyAlignment="1">
      <x:alignment horizontal="center"/>
    </x:xf>
    <x:xf numFmtId="0" fontId="21" fillId="3" borderId="0" xfId="0" applyNumberFormat="1" applyFont="1" applyFill="1" applyBorder="1"/>
    <x:xf numFmtId="0" fontId="21" fillId="3" borderId="4" xfId="0" applyNumberFormat="1" applyFont="1" applyFill="1" applyBorder="1"/>
    <x:xf numFmtId="0" fontId="21" fillId="3" borderId="5" xfId="0" applyNumberFormat="1" applyFont="1" applyFill="1" applyBorder="1"/>
    <x:xf numFmtId="0" fontId="21" fillId="3" borderId="6" xfId="0" applyNumberFormat="1" applyFont="1" applyFill="1" applyBorder="1"/>
    <x:xf numFmtId="0" fontId="21" fillId="3" borderId="7" xfId="0" applyNumberFormat="1" applyFont="1" applyFill="1" applyBorder="1"/>
    <x:xf numFmtId="0" fontId="21" fillId="3" borderId="8" xfId="0" applyNumberFormat="1" applyFont="1" applyFill="1" applyBorder="1"/>
    <x:xf numFmtId="0" fontId="21" fillId="3" borderId="9" xfId="0" applyNumberFormat="1" applyFont="1" applyFill="1" applyBorder="1"/>
    <x:xf numFmtId="0" fontId="21" fillId="3" borderId="10" xfId="0" applyNumberFormat="1" applyFont="1" applyFill="1" applyBorder="1"/>
    <x:xf numFmtId="0" fontId="21" fillId="3" borderId="11" xfId="0" applyNumberFormat="1" applyFont="1" applyFill="1" applyBorder="1"/>
    <x:xf numFmtId="0" fontId="21" fillId="3" borderId="4" xfId="0" applyNumberFormat="1" applyFont="1" applyFill="1" applyBorder="1" applyAlignment="1">
      <x:alignment wrapText="1"/>
    </x:xf>
    <x:xf numFmtId="0" fontId="21" fillId="3" borderId="5" xfId="0" applyNumberFormat="1" applyFont="1" applyFill="1" applyBorder="1" applyAlignment="1">
      <x:alignment wrapText="1"/>
    </x:xf>
    <x:xf numFmtId="0" fontId="21" fillId="3" borderId="6" xfId="0" applyNumberFormat="1" applyFont="1" applyFill="1" applyBorder="1" applyAlignment="1">
      <x:alignment wrapText="1"/>
    </x:xf>
    <x:xf numFmtId="0" fontId="21" fillId="3" borderId="7" xfId="0" applyNumberFormat="1" applyFont="1" applyFill="1" applyBorder="1" applyAlignment="1">
      <x:alignment wrapText="1"/>
    </x:xf>
    <x:xf numFmtId="0" fontId="21" fillId="3" borderId="0" xfId="0" applyNumberFormat="1" applyFont="1" applyFill="1" applyBorder="1" applyAlignment="1">
      <x:alignment wrapText="1"/>
    </x:xf>
    <x:xf numFmtId="0" fontId="21" fillId="3" borderId="8" xfId="0" applyNumberFormat="1" applyFont="1" applyFill="1" applyBorder="1" applyAlignment="1">
      <x:alignment wrapText="1"/>
    </x:xf>
    <x:xf numFmtId="0" fontId="21" fillId="3" borderId="9" xfId="0" applyNumberFormat="1" applyFont="1" applyFill="1" applyBorder="1" applyAlignment="1">
      <x:alignment wrapText="1"/>
    </x:xf>
    <x:xf numFmtId="0" fontId="21" fillId="3" borderId="10" xfId="0" applyNumberFormat="1" applyFont="1" applyFill="1" applyBorder="1" applyAlignment="1">
      <x:alignment wrapText="1"/>
    </x:xf>
    <x:xf numFmtId="0" fontId="21" fillId="3" borderId="11" xfId="0" applyNumberFormat="1" applyFont="1" applyFill="1" applyBorder="1" applyAlignment="1">
      <x:alignment wrapText="1"/>
    </x:xf>
    <x:xf numFmtId="0" fontId="21" fillId="3" borderId="4" xfId="0" applyNumberFormat="1" applyFont="1" applyFill="1" applyBorder="1" applyAlignment="1">
      <x:alignment vertical="top" wrapText="1"/>
    </x:xf>
    <x:xf numFmtId="0" fontId="21" fillId="3" borderId="5" xfId="0" applyNumberFormat="1" applyFont="1" applyFill="1" applyBorder="1" applyAlignment="1">
      <x:alignment vertical="top" wrapText="1"/>
    </x:xf>
    <x:xf numFmtId="0" fontId="21" fillId="3" borderId="6" xfId="0" applyNumberFormat="1" applyFont="1" applyFill="1" applyBorder="1" applyAlignment="1">
      <x:alignment vertical="top" wrapText="1"/>
    </x:xf>
    <x:xf numFmtId="0" fontId="21" fillId="3" borderId="7" xfId="0" applyNumberFormat="1" applyFont="1" applyFill="1" applyBorder="1" applyAlignment="1">
      <x:alignment vertical="top" wrapText="1"/>
    </x:xf>
    <x:xf numFmtId="0" fontId="21" fillId="3" borderId="0" xfId="0" applyNumberFormat="1" applyFont="1" applyFill="1" applyBorder="1" applyAlignment="1">
      <x:alignment vertical="top" wrapText="1"/>
    </x:xf>
    <x:xf numFmtId="0" fontId="21" fillId="3" borderId="8" xfId="0" applyNumberFormat="1" applyFont="1" applyFill="1" applyBorder="1" applyAlignment="1">
      <x:alignment vertical="top" wrapText="1"/>
    </x:xf>
    <x:xf numFmtId="0" fontId="21" fillId="3" borderId="9" xfId="0" applyNumberFormat="1" applyFont="1" applyFill="1" applyBorder="1" applyAlignment="1">
      <x:alignment vertical="top" wrapText="1"/>
    </x:xf>
    <x:xf numFmtId="0" fontId="21" fillId="3" borderId="10" xfId="0" applyNumberFormat="1" applyFont="1" applyFill="1" applyBorder="1" applyAlignment="1">
      <x:alignment vertical="top" wrapText="1"/>
    </x:xf>
    <x:xf numFmtId="0" fontId="21" fillId="3" borderId="11" xfId="0" applyNumberFormat="1" applyFont="1" applyFill="1" applyBorder="1" applyAlignment="1">
      <x:alignment vertical="top" wrapText="1"/>
    </x:xf>
    <x:xf numFmtId="0" fontId="16" fillId="6" borderId="0" xfId="0" applyNumberFormat="1" applyFont="1" applyFill="1" applyBorder="1"/>
    <x:xf numFmtId="0" fontId="22" fillId="5" borderId="0" xfId="0" applyNumberFormat="1" applyFont="1" applyFill="1" applyBorder="1" applyAlignment="1">
      <x:alignment horizontal="center"/>
    </x:xf>
    <x:xf numFmtId="0" fontId="23" fillId="3" borderId="4" xfId="0" applyNumberFormat="1" applyFont="1" applyFill="1" applyBorder="1" applyAlignment="1">
      <x:alignment vertical="top" wrapText="1"/>
    </x:xf>
    <x:xf numFmtId="0" fontId="23" fillId="3" borderId="5" xfId="0" applyNumberFormat="1" applyFont="1" applyFill="1" applyBorder="1" applyAlignment="1">
      <x:alignment vertical="top" wrapText="1"/>
    </x:xf>
    <x:xf numFmtId="0" fontId="23" fillId="3" borderId="6" xfId="0" applyNumberFormat="1" applyFont="1" applyFill="1" applyBorder="1" applyAlignment="1">
      <x:alignment vertical="top" wrapText="1"/>
    </x:xf>
    <x:xf numFmtId="0" fontId="23" fillId="3" borderId="7" xfId="0" applyNumberFormat="1" applyFont="1" applyFill="1" applyBorder="1" applyAlignment="1">
      <x:alignment vertical="top" wrapText="1"/>
    </x:xf>
    <x:xf numFmtId="0" fontId="23" fillId="3" borderId="0" xfId="0" applyNumberFormat="1" applyFont="1" applyFill="1" applyBorder="1" applyAlignment="1">
      <x:alignment vertical="top" wrapText="1"/>
    </x:xf>
    <x:xf numFmtId="0" fontId="23" fillId="3" borderId="8" xfId="0" applyNumberFormat="1" applyFont="1" applyFill="1" applyBorder="1" applyAlignment="1">
      <x:alignment vertical="top" wrapText="1"/>
    </x:xf>
    <x:xf numFmtId="0" fontId="23" fillId="3" borderId="9" xfId="0" applyNumberFormat="1" applyFont="1" applyFill="1" applyBorder="1" applyAlignment="1">
      <x:alignment vertical="top" wrapText="1"/>
    </x:xf>
    <x:xf numFmtId="0" fontId="23" fillId="3" borderId="10" xfId="0" applyNumberFormat="1" applyFont="1" applyFill="1" applyBorder="1" applyAlignment="1">
      <x:alignment vertical="top" wrapText="1"/>
    </x:xf>
    <x:xf numFmtId="0" fontId="23" fillId="3" borderId="11" xfId="0" applyNumberFormat="1" applyFont="1" applyFill="1" applyBorder="1" applyAlignment="1">
      <x:alignment vertical="top" wrapText="1"/>
    </x:xf>
    <x:xf numFmtId="0" fontId="15" fillId="4" borderId="0" xfId="0" applyNumberFormat="1" applyFont="1" applyFill="1" applyBorder="1"/>
    <x:xf numFmtId="0" fontId="13" fillId="4" borderId="0" xfId="0" applyNumberFormat="1" applyFont="1" applyFill="1" applyBorder="1"/>
    <x:xf numFmtId="0" fontId="13" fillId="4" borderId="0" xfId="0" applyNumberFormat="1" applyFont="1" applyFill="1" applyBorder="1" applyAlignment="1">
      <x:alignment horizontal="center"/>
    </x:xf>
    <x:xf numFmtId="0" fontId="13" fillId="4" borderId="0" xfId="0" applyNumberFormat="1" applyFont="1" applyFill="1" applyBorder="1" applyAlignment="1">
      <x:alignment horizontal="center" vertical="center"/>
    </x:xf>
    <x:xf numFmtId="0" fontId="18" fillId="6" borderId="0" xfId="0" applyNumberFormat="1" applyFont="1" applyFill="1" applyBorder="1" applyAlignment="1">
      <x:alignment vertical="center"/>
    </x:xf>
    <x:xf numFmtId="0" fontId="18" fillId="2" borderId="1" xfId="0" applyNumberFormat="1" applyFont="1" applyFill="1" applyBorder="1" applyAlignment="1">
      <x:alignment horizontal="center" vertical="center" wrapText="1"/>
    </x:xf>
    <x:xf numFmtId="0" fontId="2" fillId="3" borderId="1" xfId="0" applyNumberFormat="1" applyFont="1" applyFill="1" applyBorder="1" applyAlignment="1">
      <x:alignment vertical="top" wrapText="1"/>
    </x:xf>
    <x:xf numFmtId="0" fontId="18" fillId="6" borderId="1" xfId="0" applyNumberFormat="1" applyFont="1" applyFill="1" applyBorder="1" applyAlignment="1">
      <x:alignment vertical="center"/>
    </x:xf>
    <x:xf numFmtId="0" fontId="18" fillId="6" borderId="1" xfId="0" applyNumberFormat="1" applyFont="1" applyFill="1" applyBorder="1" applyAlignment="1">
      <x:alignment vertical="center" wrapText="1"/>
    </x:xf>
    <x:xf numFmtId="0" fontId="18" fillId="6" borderId="1" xfId="0" applyNumberFormat="1" applyFont="1" applyFill="1" applyBorder="1" applyAlignment="1">
      <x:alignment vertical="top" wrapText="1"/>
    </x:xf>
    <x:xf numFmtId="0" fontId="18" fillId="2" borderId="1" xfId="0" applyNumberFormat="1" applyFont="1" applyFill="1" applyBorder="1" applyAlignment="1">
      <x:alignment horizontal="center" vertical="top" wrapText="1"/>
    </x:xf>
    <x:xf numFmtId="205" fontId="18" fillId="6" borderId="1" xfId="0" applyNumberFormat="1" applyFont="1" applyFill="1" applyBorder="1" applyAlignment="1">
      <x:alignment vertical="top" wrapText="1"/>
    </x:xf>
    <x:xf numFmtId="203" fontId="18" fillId="2" borderId="1" xfId="0" applyNumberFormat="1" applyFont="1" applyFill="1" applyBorder="1" applyAlignment="1">
      <x:alignment horizontal="center" vertical="top" wrapText="1"/>
    </x:xf>
    <x:xf numFmtId="201" fontId="2" fillId="3" borderId="1" xfId="0" applyNumberFormat="1" applyFont="1" applyFill="1" applyBorder="1" applyAlignment="1">
      <x:alignment vertical="top" wrapText="1"/>
    </x:xf>
    <x:xf numFmtId="203" fontId="7" fillId="7" borderId="1" xfId="0" applyNumberFormat="1" applyFont="1" applyFill="1" applyBorder="1" applyAlignment="1">
      <x:alignment vertical="top" wrapText="1"/>
    </x:xf>
    <x:xf numFmtId="201" fontId="7" fillId="7" borderId="1" xfId="0" applyNumberFormat="1" applyFont="1" applyFill="1" applyBorder="1" applyAlignment="1">
      <x:alignment vertical="top" wrapText="1"/>
    </x:xf>
    <x:xf numFmtId="205" fontId="7" fillId="7" borderId="1" xfId="0" applyNumberFormat="1" applyFont="1" applyFill="1" applyBorder="1" applyAlignment="1">
      <x:alignment vertical="top" wrapText="1"/>
    </x:xf>
    <x:xf numFmtId="205" fontId="18" fillId="7" borderId="1" xfId="0" applyNumberFormat="1" applyFont="1" applyFill="1" applyBorder="1" applyAlignment="1">
      <x:alignment vertical="top" wrapText="1"/>
    </x:xf>
    <x:xf numFmtId="203" fontId="18" fillId="7" borderId="1" xfId="0" applyNumberFormat="1" applyFont="1" applyFill="1" applyBorder="1" applyAlignment="1">
      <x:alignment horizontal="center" vertical="top" wrapText="1"/>
    </x:xf>
    <x:xf numFmtId="201" fontId="2" fillId="7" borderId="1" xfId="0" applyNumberFormat="1" applyFont="1" applyFill="1" applyBorder="1" applyAlignment="1">
      <x:alignment vertical="top" wrapText="1"/>
    </x:xf>
    <x:xf numFmtId="203" fontId="7" fillId="8" borderId="1" xfId="0" applyNumberFormat="1" applyFont="1" applyFill="1" applyBorder="1" applyAlignment="1">
      <x:alignment vertical="top" wrapText="1"/>
    </x:xf>
    <x:xf numFmtId="201" fontId="7" fillId="8" borderId="1" xfId="0" applyNumberFormat="1" applyFont="1" applyFill="1" applyBorder="1" applyAlignment="1">
      <x:alignment vertical="top" wrapText="1"/>
    </x:xf>
    <x:xf numFmtId="205" fontId="7" fillId="8" borderId="1" xfId="0" applyNumberFormat="1" applyFont="1" applyFill="1" applyBorder="1" applyAlignment="1">
      <x:alignment vertical="top" wrapText="1"/>
    </x:xf>
    <x:xf numFmtId="205" fontId="18" fillId="8" borderId="1" xfId="0" applyNumberFormat="1" applyFont="1" applyFill="1" applyBorder="1" applyAlignment="1">
      <x:alignment vertical="top" wrapText="1"/>
    </x:xf>
    <x:xf numFmtId="203" fontId="18" fillId="8" borderId="1" xfId="0" applyNumberFormat="1" applyFont="1" applyFill="1" applyBorder="1" applyAlignment="1">
      <x:alignment horizontal="center" vertical="top" wrapText="1"/>
    </x:xf>
    <x:xf numFmtId="201" fontId="2" fillId="8" borderId="1" xfId="0" applyNumberFormat="1" applyFont="1" applyFill="1" applyBorder="1" applyAlignment="1">
      <x:alignment vertical="top" wrapText="1"/>
    </x:xf>
    <x:xf numFmtId="203" fontId="7" fillId="6" borderId="1" xfId="0" applyNumberFormat="1" applyFont="1" applyFill="1" applyBorder="1" applyAlignment="1">
      <x:alignment vertical="top" wrapText="1"/>
    </x:xf>
    <x:xf numFmtId="201" fontId="7" fillId="6" borderId="1" xfId="0" applyNumberFormat="1" applyFont="1" applyFill="1" applyBorder="1" applyAlignment="1">
      <x:alignment vertical="top" wrapText="1"/>
    </x:xf>
    <x:xf numFmtId="205" fontId="7" fillId="6" borderId="1" xfId="0" applyNumberFormat="1" applyFont="1" applyFill="1" applyBorder="1" applyAlignment="1">
      <x:alignment vertical="top" wrapText="1"/>
    </x:xf>
    <x:xf numFmtId="203" fontId="7" fillId="9" borderId="1" xfId="0" applyNumberFormat="1" applyFont="1" applyFill="1" applyBorder="1" applyAlignment="1">
      <x:alignment vertical="top" wrapText="1"/>
    </x:xf>
    <x:xf numFmtId="201" fontId="7" fillId="9" borderId="1" xfId="0" applyNumberFormat="1" applyFont="1" applyFill="1" applyBorder="1" applyAlignment="1">
      <x:alignment vertical="top" wrapText="1"/>
    </x:xf>
    <x:xf numFmtId="205" fontId="7" fillId="9" borderId="1" xfId="0" applyNumberFormat="1" applyFont="1" applyFill="1" applyBorder="1" applyAlignment="1">
      <x:alignment vertical="top" wrapText="1"/>
    </x:xf>
    <x:xf numFmtId="205" fontId="18" fillId="9" borderId="1" xfId="0" applyNumberFormat="1" applyFont="1" applyFill="1" applyBorder="1" applyAlignment="1">
      <x:alignment vertical="top" wrapText="1"/>
    </x:xf>
    <x:xf numFmtId="203" fontId="7" fillId="10" borderId="1" xfId="0" applyNumberFormat="1" applyFont="1" applyFill="1" applyBorder="1" applyAlignment="1">
      <x:alignment vertical="top" wrapText="1"/>
    </x:xf>
    <x:xf numFmtId="201" fontId="7" fillId="10" borderId="1" xfId="0" applyNumberFormat="1" applyFont="1" applyFill="1" applyBorder="1" applyAlignment="1">
      <x:alignment vertical="top" wrapText="1"/>
    </x:xf>
    <x:xf numFmtId="205" fontId="7" fillId="10" borderId="1" xfId="0" applyNumberFormat="1" applyFont="1" applyFill="1" applyBorder="1" applyAlignment="1">
      <x:alignment vertical="top" wrapText="1"/>
    </x:xf>
    <x:xf numFmtId="205" fontId="18" fillId="10" borderId="1" xfId="0" applyNumberFormat="1" applyFont="1" applyFill="1" applyBorder="1" applyAlignment="1">
      <x:alignment vertical="top" wrapText="1"/>
    </x:xf>
    <x:xf numFmtId="0" fontId="7" fillId="7" borderId="1" xfId="0" applyNumberFormat="1" applyFont="1" applyFill="1" applyBorder="1" applyAlignment="1">
      <x:alignment vertical="top" wrapText="1"/>
    </x:xf>
    <x:xf numFmtId="202" fontId="7" fillId="7" borderId="1" xfId="0" applyNumberFormat="1" applyFont="1" applyFill="1" applyBorder="1" applyAlignment="1">
      <x:alignment vertical="top" wrapText="1"/>
    </x:xf>
    <x:xf numFmtId="0" fontId="18" fillId="7" borderId="1" xfId="0" applyNumberFormat="1" applyFont="1" applyFill="1" applyBorder="1" applyAlignment="1">
      <x:alignment vertical="top" wrapText="1"/>
    </x:xf>
    <x:xf numFmtId="203" fontId="18" fillId="7" borderId="1" xfId="0" applyNumberFormat="1" applyFont="1" applyFill="1" applyBorder="1" applyAlignment="1">
      <x:alignment vertical="top" wrapText="1"/>
    </x:xf>
    <x:xf numFmtId="202" fontId="18" fillId="7" borderId="1" xfId="0" applyNumberFormat="1" applyFont="1" applyFill="1" applyBorder="1" applyAlignment="1">
      <x:alignment vertical="top" wrapText="1"/>
    </x:xf>
    <x:xf numFmtId="0" fontId="18" fillId="7" borderId="12" xfId="0" applyNumberFormat="1" applyFont="1" applyFill="1" applyBorder="1" applyAlignment="1">
      <x:alignment vertical="top" wrapText="1"/>
    </x:xf>
    <x:xf numFmtId="203" fontId="18" fillId="7" borderId="12" xfId="0" applyNumberFormat="1" applyFont="1" applyFill="1" applyBorder="1" applyAlignment="1">
      <x:alignment vertical="top" wrapText="1"/>
    </x:xf>
    <x:xf numFmtId="202" fontId="18" fillId="7" borderId="12" xfId="0" applyNumberFormat="1" applyFont="1" applyFill="1" applyBorder="1" applyAlignment="1">
      <x:alignment vertical="top" wrapText="1"/>
    </x:xf>
    <x:xf numFmtId="0" fontId="15" fillId="6" borderId="0" xfId="0" applyNumberFormat="1" applyFont="1" applyFill="1" applyBorder="1"/>
    <x:xf numFmtId="0" fontId="16" fillId="6" borderId="0" xfId="0" applyNumberFormat="1" applyFont="1" applyFill="1" applyBorder="1" applyAlignment="1">
      <x:alignment vertical="center"/>
    </x:xf>
    <x:xf numFmtId="0" fontId="15" fillId="2" borderId="0" xfId="0" applyNumberFormat="1" applyFont="1" applyFill="1" applyBorder="1"/>
    <x:xf numFmtId="0" fontId="15" fillId="7" borderId="0" xfId="0" applyNumberFormat="1" applyFont="1" applyFill="1" applyBorder="1"/>
    <x:xf numFmtId="0" fontId="13" fillId="7" borderId="0" xfId="0" applyNumberFormat="1" applyFont="1" applyFill="1" applyBorder="1"/>
    <x:xf numFmtId="0" fontId="13" fillId="7" borderId="13" xfId="0" applyNumberFormat="1" applyFont="1" applyFill="1" applyBorder="1"/>
    <x:xf numFmtId="0" fontId="13" fillId="7" borderId="14" xfId="0" applyNumberFormat="1" applyFont="1" applyFill="1" applyBorder="1"/>
    <x:xf numFmtId="0" fontId="13" fillId="7" borderId="15" xfId="0" applyNumberFormat="1" applyFont="1" applyFill="1" applyBorder="1"/>
    <x:xf numFmtId="0" fontId="13" fillId="7" borderId="16" xfId="0" applyNumberFormat="1" applyFont="1" applyFill="1" applyBorder="1"/>
    <x:xf numFmtId="0" fontId="13" fillId="7" borderId="17" xfId="0" applyNumberFormat="1" applyFont="1" applyFill="1" applyBorder="1"/>
    <x:xf numFmtId="0" fontId="13" fillId="7" borderId="18" xfId="0" applyNumberFormat="1" applyFont="1" applyFill="1" applyBorder="1"/>
    <x:xf numFmtId="0" fontId="13" fillId="7" borderId="13" xfId="0" applyNumberFormat="1" applyFont="1" applyFill="1" applyBorder="1" applyAlignment="1">
      <x:alignment wrapText="1"/>
    </x:xf>
    <x:xf numFmtId="0" fontId="13" fillId="7" borderId="14" xfId="0" applyNumberFormat="1" applyFont="1" applyFill="1" applyBorder="1" applyAlignment="1">
      <x:alignment wrapText="1"/>
    </x:xf>
    <x:xf numFmtId="0" fontId="13" fillId="7" borderId="15" xfId="0" applyNumberFormat="1" applyFont="1" applyFill="1" applyBorder="1" applyAlignment="1">
      <x:alignment wrapText="1"/>
    </x:xf>
    <x:xf numFmtId="0" fontId="13" fillId="7" borderId="16" xfId="0" applyNumberFormat="1" applyFont="1" applyFill="1" applyBorder="1" applyAlignment="1">
      <x:alignment wrapText="1"/>
    </x:xf>
    <x:xf numFmtId="0" fontId="13" fillId="7" borderId="17" xfId="0" applyNumberFormat="1" applyFont="1" applyFill="1" applyBorder="1" applyAlignment="1">
      <x:alignment wrapText="1"/>
    </x:xf>
    <x:xf numFmtId="0" fontId="13" fillId="7" borderId="18" xfId="0" applyNumberFormat="1" applyFont="1" applyFill="1" applyBorder="1" applyAlignment="1">
      <x:alignment wrapText="1"/>
    </x:xf>
    <x:xf numFmtId="0" fontId="13" fillId="7" borderId="13" xfId="0" applyNumberFormat="1" applyFont="1" applyFill="1" applyBorder="1" applyAlignment="1">
      <x:alignment vertical="center" wrapText="1"/>
    </x:xf>
    <x:xf numFmtId="0" fontId="13" fillId="7" borderId="14" xfId="0" applyNumberFormat="1" applyFont="1" applyFill="1" applyBorder="1" applyAlignment="1">
      <x:alignment vertical="center" wrapText="1"/>
    </x:xf>
    <x:xf numFmtId="0" fontId="13" fillId="7" borderId="15" xfId="0" applyNumberFormat="1" applyFont="1" applyFill="1" applyBorder="1" applyAlignment="1">
      <x:alignment vertical="center" wrapText="1"/>
    </x:xf>
    <x:xf numFmtId="0" fontId="13" fillId="7" borderId="16" xfId="0" applyNumberFormat="1" applyFont="1" applyFill="1" applyBorder="1" applyAlignment="1">
      <x:alignment vertical="center" wrapText="1"/>
    </x:xf>
    <x:xf numFmtId="0" fontId="13" fillId="7" borderId="17" xfId="0" applyNumberFormat="1" applyFont="1" applyFill="1" applyBorder="1" applyAlignment="1">
      <x:alignment vertical="center" wrapText="1"/>
    </x:xf>
    <x:xf numFmtId="0" fontId="13" fillId="7" borderId="18" xfId="0" applyNumberFormat="1" applyFont="1" applyFill="1" applyBorder="1" applyAlignment="1">
      <x:alignment vertical="center" wrapText="1"/>
    </x:xf>
    <x:xf numFmtId="202" fontId="7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vertical="top" wrapText="1"/>
    </x:xf>
    <x:xf numFmtId="202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vertical="center" wrapText="1"/>
    </x:xf>
    <x:xf numFmtId="202" fontId="10" fillId="6" borderId="1" xfId="0" applyNumberFormat="1" applyFont="1" applyFill="1" applyBorder="1" applyAlignment="1">
      <x:alignment vertical="center" wrapText="1"/>
    </x:xf>
    <x:xf numFmtId="0" fontId="7" fillId="2" borderId="1" xfId="0" applyNumberFormat="1" applyFont="1" applyFill="1" applyBorder="1" applyAlignment="1">
      <x:alignment vertical="top" wrapText="1"/>
    </x:xf>
    <x:xf numFmtId="206" fontId="7" fillId="2" borderId="1" xfId="0" applyNumberFormat="1" applyFont="1" applyFill="1" applyBorder="1" applyAlignment="1">
      <x:alignment vertical="top" wrapText="1"/>
    </x:xf>
    <x:xf numFmtId="0" fontId="5" fillId="2" borderId="1" xfId="0" applyNumberFormat="1" applyFont="1" applyFill="1" applyBorder="1" applyAlignment="1">
      <x:alignment vertical="top" wrapText="1"/>
    </x:xf>
    <x:xf numFmtId="206" fontId="5" fillId="2" borderId="1" xfId="0" applyNumberFormat="1" applyFont="1" applyFill="1" applyBorder="1" applyAlignment="1">
      <x:alignment vertical="top" wrapText="1"/>
    </x:xf>
    <x:xf numFmtId="0" fontId="5" fillId="2" borderId="1" xfId="0" applyNumberFormat="1" applyFont="1" applyFill="1" applyBorder="1" applyAlignment="1">
      <x:alignment horizontal="center" vertical="top" wrapText="1"/>
    </x:xf>
    <x:xf numFmtId="206" fontId="5" fillId="2" borderId="1" xfId="0" applyNumberFormat="1" applyFont="1" applyFill="1" applyBorder="1" applyAlignment="1">
      <x:alignment horizontal="center" vertical="top" wrapText="1"/>
    </x:xf>
    <x:xf numFmtId="206" fontId="5" fillId="2" borderId="1" xfId="0" applyNumberFormat="1" applyFont="1" applyFill="1" applyBorder="1" applyAlignment="1">
      <x:alignment horizontal="center" vertical="center" wrapText="1"/>
    </x:xf>
    <x:xf numFmtId="0" fontId="7" fillId="3" borderId="1" xfId="0" applyNumberFormat="1" applyFont="1" applyFill="1" applyBorder="1" applyAlignment="1">
      <x:alignment vertical="top" wrapText="1"/>
    </x:xf>
    <x:xf numFmtId="203" fontId="7" fillId="3" borderId="1" xfId="0" applyNumberFormat="1" applyFont="1" applyFill="1" applyBorder="1" applyAlignment="1">
      <x:alignment vertical="top" wrapText="1"/>
    </x:xf>
    <x:xf numFmtId="203" fontId="6" fillId="3" borderId="1" xfId="0" applyNumberFormat="1" applyFont="1" applyFill="1" applyBorder="1" applyAlignment="1">
      <x:alignment vertical="top" wrapText="1"/>
    </x:xf>
    <x:xf numFmtId="0" fontId="6" fillId="6" borderId="1" xfId="0" applyNumberFormat="1" applyFont="1" applyFill="1" applyBorder="1" applyAlignment="1">
      <x:alignment vertical="top" wrapText="1"/>
    </x:xf>
    <x:xf numFmtId="0" fontId="24" fillId="6" borderId="1" xfId="0" applyNumberFormat="1" applyFont="1" applyFill="1" applyBorder="1" applyAlignment="1">
      <x:alignment vertical="top" wrapText="1"/>
    </x:xf>
    <x:xf numFmtId="0" fontId="24" fillId="6" borderId="1" xfId="0" applyNumberFormat="1" applyFont="1" applyFill="1" applyBorder="1" applyAlignment="1">
      <x:alignment vertical="center" wrapText="1"/>
    </x:xf>
    <x:xf numFmtId="0" fontId="7" fillId="2" borderId="1" xfId="0" applyNumberFormat="1" applyFont="1" applyFill="1" applyBorder="1" applyAlignment="1">
      <x:alignment vertical="center" wrapText="0"/>
    </x:xf>
    <x:xf numFmtId="203" fontId="7" fillId="2" borderId="1" xfId="0" applyNumberFormat="1" applyFont="1" applyFill="1" applyBorder="1" applyAlignment="1">
      <x:alignment vertical="center" wrapText="0"/>
    </x:xf>
    <x:xf numFmtId="202" fontId="7" fillId="2" borderId="1" xfId="0" applyNumberFormat="1" applyFont="1" applyFill="1" applyBorder="1" applyAlignment="1">
      <x:alignment vertical="center" wrapText="0"/>
    </x:xf>
    <x:xf numFmtId="201" fontId="7" fillId="2" borderId="1" xfId="0" applyNumberFormat="1" applyFont="1" applyFill="1" applyBorder="1" applyAlignment="1">
      <x:alignment vertical="center" wrapText="0"/>
    </x:xf>
    <x:xf numFmtId="0" fontId="5" fillId="2" borderId="1" xfId="0" applyNumberFormat="1" applyFont="1" applyFill="1" applyBorder="1" applyAlignment="1">
      <x:alignment vertical="center" wrapText="0"/>
    </x:xf>
    <x:xf numFmtId="203" fontId="5" fillId="2" borderId="1" xfId="0" applyNumberFormat="1" applyFont="1" applyFill="1" applyBorder="1" applyAlignment="1">
      <x:alignment vertical="center" wrapText="0"/>
    </x:xf>
    <x:xf numFmtId="202" fontId="5" fillId="2" borderId="1" xfId="0" applyNumberFormat="1" applyFont="1" applyFill="1" applyBorder="1" applyAlignment="1">
      <x:alignment vertical="center" wrapText="0"/>
    </x:xf>
    <x:xf numFmtId="201" fontId="5" fillId="2" borderId="1" xfId="0" applyNumberFormat="1" applyFont="1" applyFill="1" applyBorder="1" applyAlignment="1">
      <x:alignment vertical="center" wrapText="0"/>
    </x:xf>
    <x:xf numFmtId="0" fontId="5" fillId="2" borderId="1" xfId="0" applyNumberFormat="1" applyFont="1" applyFill="1" applyBorder="1" applyAlignment="1">
      <x:alignment vertical="center" wrapText="1"/>
    </x:xf>
    <x:xf numFmtId="203" fontId="5" fillId="2" borderId="1" xfId="0" applyNumberFormat="1" applyFont="1" applyFill="1" applyBorder="1" applyAlignment="1">
      <x:alignment vertical="center" wrapText="1"/>
    </x:xf>
    <x:xf numFmtId="202" fontId="5" fillId="2" borderId="1" xfId="0" applyNumberFormat="1" applyFont="1" applyFill="1" applyBorder="1" applyAlignment="1">
      <x:alignment vertical="center" wrapText="1"/>
    </x:xf>
    <x:xf numFmtId="201" fontId="5" fillId="2" borderId="1" xfId="0" applyNumberFormat="1" applyFont="1" applyFill="1" applyBorder="1" applyAlignment="1">
      <x:alignment vertical="center" wrapText="1"/>
    </x:xf>
    <x:xf numFmtId="203" fontId="5" fillId="2" borderId="1" xfId="0" applyNumberFormat="1" applyFont="1" applyFill="1" applyBorder="1" applyAlignment="1">
      <x:alignment horizontal="center" vertical="center" wrapText="1"/>
    </x:xf>
    <x:xf numFmtId="202" fontId="5" fillId="2" borderId="1" xfId="0" applyNumberFormat="1" applyFont="1" applyFill="1" applyBorder="1" applyAlignment="1">
      <x:alignment horizontal="center" vertical="center" wrapText="1"/>
    </x:xf>
    <x:xf numFmtId="201" fontId="5" fillId="2" borderId="1" xfId="0" applyNumberFormat="1" applyFont="1" applyFill="1" applyBorder="1" applyAlignment="1">
      <x:alignment horizontal="center" vertical="center" wrapText="1"/>
    </x:xf>
    <x:xf numFmtId="0" fontId="7" fillId="3" borderId="1" xfId="0" applyNumberFormat="1" applyFont="1" applyFill="1" applyBorder="1" applyAlignment="1">
      <x:alignment vertical="center" wrapText="0"/>
    </x:xf>
    <x:xf numFmtId="203" fontId="7" fillId="3" borderId="1" xfId="0" applyNumberFormat="1" applyFont="1" applyFill="1" applyBorder="1" applyAlignment="1">
      <x:alignment vertical="center" wrapText="0"/>
    </x:xf>
    <x:xf numFmtId="202" fontId="7" fillId="3" borderId="1" xfId="0" applyNumberFormat="1" applyFont="1" applyFill="1" applyBorder="1" applyAlignment="1">
      <x:alignment vertical="center" wrapText="0"/>
    </x:xf>
    <x:xf numFmtId="201" fontId="7" fillId="3" borderId="1" xfId="0" applyNumberFormat="1" applyFont="1" applyFill="1" applyBorder="1" applyAlignment="1">
      <x:alignment vertical="center" wrapText="0"/>
    </x:xf>
    <x:xf numFmtId="0" fontId="6" fillId="3" borderId="1" xfId="0" applyNumberFormat="1" applyFont="1" applyFill="1" applyBorder="1" applyAlignment="1">
      <x:alignment vertical="center" wrapText="0"/>
    </x:xf>
    <x:xf numFmtId="203" fontId="6" fillId="3" borderId="1" xfId="0" applyNumberFormat="1" applyFont="1" applyFill="1" applyBorder="1" applyAlignment="1">
      <x:alignment vertical="center" wrapText="0"/>
    </x:xf>
    <x:xf numFmtId="202" fontId="6" fillId="3" borderId="1" xfId="0" applyNumberFormat="1" applyFont="1" applyFill="1" applyBorder="1" applyAlignment="1">
      <x:alignment vertical="center" wrapText="0"/>
    </x:xf>
    <x:xf numFmtId="201" fontId="6" fillId="3" borderId="1" xfId="0" applyNumberFormat="1" applyFont="1" applyFill="1" applyBorder="1" applyAlignment="1">
      <x:alignment vertical="center" wrapText="0"/>
    </x:xf>
    <x:xf numFmtId="0" fontId="6" fillId="3" borderId="1" xfId="0" applyNumberFormat="1" applyFont="1" applyFill="1" applyBorder="1" applyAlignment="1">
      <x:alignment vertical="center" wrapText="1"/>
    </x:xf>
    <x:xf numFmtId="203" fontId="6" fillId="3" borderId="1" xfId="0" applyNumberFormat="1" applyFont="1" applyFill="1" applyBorder="1" applyAlignment="1">
      <x:alignment vertical="center" wrapText="1"/>
    </x:xf>
    <x:xf numFmtId="202" fontId="6" fillId="3" borderId="1" xfId="0" applyNumberFormat="1" applyFont="1" applyFill="1" applyBorder="1" applyAlignment="1">
      <x:alignment vertical="center" wrapText="1"/>
    </x:xf>
    <x:xf numFmtId="201" fontId="6" fillId="3" borderId="1" xfId="0" applyNumberFormat="1" applyFont="1" applyFill="1" applyBorder="1" applyAlignment="1">
      <x:alignment vertical="center" wrapText="1"/>
    </x:xf>
    <x:xf numFmtId="202" fontId="6" fillId="3" borderId="1" xfId="0" applyNumberFormat="1" applyFont="1" applyFill="1" applyBorder="1" applyAlignment="1">
      <x:alignment vertical="top" wrapText="1"/>
    </x:xf>
    <x:xf numFmtId="201" fontId="6" fillId="3" borderId="1" xfId="0" applyNumberFormat="1" applyFont="1" applyFill="1" applyBorder="1" applyAlignment="1">
      <x:alignment vertical="top" wrapText="1"/>
    </x:xf>
    <x:xf numFmtId="0" fontId="2" fillId="3" borderId="4" xfId="0" applyNumberFormat="1" applyFont="1" applyFill="1" applyBorder="1" applyAlignment="1">
      <x:alignment vertical="top" wrapText="1"/>
    </x:xf>
    <x:xf numFmtId="0" fontId="2" fillId="3" borderId="5" xfId="0" applyNumberFormat="1" applyFont="1" applyFill="1" applyBorder="1" applyAlignment="1">
      <x:alignment vertical="top" wrapText="1"/>
    </x:xf>
    <x:xf numFmtId="0" fontId="2" fillId="3" borderId="6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0"/>
    </x:xf>
    <x:xf numFmtId="0" fontId="2" fillId="3" borderId="1" xfId="0" applyNumberFormat="1" applyFont="1" applyFill="1" applyBorder="1" applyAlignment="1">
      <x:alignment vertical="center" wrapText="0"/>
    </x:xf>
    <x:xf numFmtId="203" fontId="2" fillId="3" borderId="1" xfId="0" applyNumberFormat="1" applyFont="1" applyFill="1" applyBorder="1" applyAlignment="1">
      <x:alignment vertical="center" wrapText="0"/>
    </x:xf>
    <x:xf numFmtId="202" fontId="2" fillId="3" borderId="1" xfId="0" applyNumberFormat="1" applyFont="1" applyFill="1" applyBorder="1" applyAlignment="1">
      <x:alignment vertical="center" wrapText="0"/>
    </x:xf>
    <x:xf numFmtId="0" fontId="15" fillId="3" borderId="0" xfId="0" applyNumberFormat="1" applyFont="1" applyFill="1" applyBorder="1"/>
    <x:xf numFmtId="0" fontId="23" fillId="3" borderId="0" xfId="0" applyNumberFormat="1" applyFont="1" applyFill="1" applyBorder="1"/>
    <x:xf numFmtId="0" fontId="23" fillId="3" borderId="19" xfId="0" applyNumberFormat="1" applyFont="1" applyFill="1" applyBorder="1" applyAlignment="1">
      <x:alignment vertical="top" wrapText="1"/>
    </x:xf>
    <x:xf numFmtId="0" fontId="23" fillId="3" borderId="20" xfId="0" applyNumberFormat="1" applyFont="1" applyFill="1" applyBorder="1" applyAlignment="1">
      <x:alignment vertical="top" wrapText="1"/>
    </x:xf>
    <x:xf numFmtId="0" fontId="23" fillId="3" borderId="21" xfId="0" applyNumberFormat="1" applyFont="1" applyFill="1" applyBorder="1" applyAlignment="1">
      <x:alignment vertical="top" wrapText="1"/>
    </x:xf>
    <x:xf numFmtId="0" fontId="23" fillId="3" borderId="7" xfId="0" applyNumberFormat="1" applyFont="1" applyFill="1" applyBorder="1"/>
    <x:xf numFmtId="0" fontId="23" fillId="3" borderId="9" xfId="0" applyNumberFormat="1" applyFont="1" applyFill="1" applyBorder="1"/>
    <x:xf numFmtId="0" fontId="23" fillId="3" borderId="10" xfId="0" applyNumberFormat="1" applyFont="1" applyFill="1" applyBorder="1"/>
    <x:xf numFmtId="0" fontId="23" fillId="3" borderId="7" xfId="0" applyNumberFormat="1" applyFont="1" applyFill="1" applyBorder="1" applyAlignment="1">
      <x:alignment wrapText="1"/>
    </x:xf>
    <x:xf numFmtId="0" fontId="23" fillId="3" borderId="0" xfId="0" applyNumberFormat="1" applyFont="1" applyFill="1" applyBorder="1" applyAlignment="1">
      <x:alignment wrapText="1"/>
    </x:xf>
    <x:xf numFmtId="0" fontId="23" fillId="3" borderId="9" xfId="0" applyNumberFormat="1" applyFont="1" applyFill="1" applyBorder="1" applyAlignment="1">
      <x:alignment wrapText="1"/>
    </x:xf>
    <x:xf numFmtId="0" fontId="23" fillId="3" borderId="10" xfId="0" applyNumberFormat="1" applyFont="1" applyFill="1" applyBorder="1" applyAlignment="1">
      <x:alignment wrapText="1"/>
    </x:xf>
    <x:xf numFmtId="0" fontId="11" fillId="6" borderId="0" xfId="0" applyNumberFormat="1" applyFont="1" applyFill="1" applyBorder="1" applyAlignment="1">
      <x:alignment vertical="center"/>
    </x:xf>
    <x:xf numFmtId="206" fontId="7" fillId="0" borderId="1" xfId="0" applyNumberFormat="1" applyFont="1" applyFill="1" applyBorder="1" applyAlignment="1">
      <x:alignment vertical="center" wrapText="0"/>
    </x:xf>
    <x:xf numFmtId="206" fontId="18" fillId="7" borderId="2" xfId="0" applyNumberFormat="1" applyFont="1" applyFill="1" applyBorder="1" applyAlignment="1">
      <x:alignment vertical="center" wrapText="0"/>
    </x:xf>
    <x:xf numFmtId="206" fontId="17" fillId="6" borderId="1" xfId="0" applyNumberFormat="1" applyFont="1" applyFill="1" applyBorder="1" applyAlignment="1">
      <x:alignment vertical="center" wrapText="0"/>
    </x:xf>
    <x:xf numFmtId="208" fontId="7" fillId="0" borderId="1" xfId="0" applyNumberFormat="1" applyFont="1" applyFill="1" applyBorder="1" applyAlignment="1">
      <x:alignment vertical="center" wrapText="0"/>
    </x:xf>
    <x:xf numFmtId="0" fontId="0" fillId="16" borderId="0" xfId="0" applyNumberFormat="1" applyFont="1" applyFill="1" applyBorder="1"/>
    <x:xf numFmtId="0" fontId="10" fillId="16" borderId="0" xfId="0" applyNumberFormat="1" applyFont="1" applyFill="1" applyBorder="1"/>
    <x:xf numFmtId="0" fontId="10" fillId="16" borderId="0" xfId="0" applyNumberFormat="1" applyFont="1" applyFill="1" applyBorder="1" applyAlignment="1">
      <x:alignment vertical="center"/>
    </x:xf>
    <x:xf numFmtId="0" fontId="0" fillId="17" borderId="0" xfId="0" applyNumberFormat="1" applyFont="1" applyFill="1" applyBorder="1"/>
    <x:xf numFmtId="0" fontId="5" fillId="17" borderId="0" xfId="0" applyNumberFormat="1" applyFont="1" applyFill="1" applyBorder="1"/>
    <x:xf numFmtId="0" fontId="5" fillId="17" borderId="1" xfId="0" applyNumberFormat="1" applyFont="1" applyFill="1" applyBorder="1"/>
    <x:xf numFmtId="0" fontId="5" fillId="17" borderId="1" xfId="0" applyNumberFormat="1" applyFont="1" applyFill="1" applyBorder="1" applyAlignment="1">
      <x:alignment wrapText="1"/>
    </x:xf>
    <x:xf numFmtId="0" fontId="5" fillId="17" borderId="1" xfId="0" applyNumberFormat="1" applyFont="1" applyFill="1" applyBorder="1" applyAlignment="1">
      <x:alignment vertical="center" wrapText="1"/>
    </x:xf>
    <x:xf numFmtId="0" fontId="7" fillId="18" borderId="1" xfId="0" applyNumberFormat="1" applyFont="1" applyFill="1" applyBorder="1" applyAlignment="1">
      <x:alignment vertical="top" wrapText="1"/>
    </x:xf>
    <x:xf numFmtId="0" fontId="18" fillId="18" borderId="1" xfId="0" applyNumberFormat="1" applyFont="1" applyFill="1" applyBorder="1" applyAlignment="1">
      <x:alignment vertical="top" wrapText="1"/>
    </x:xf>
    <x:xf numFmtId="0" fontId="18" fillId="18" borderId="1" xfId="0" applyNumberFormat="1" applyFont="1" applyFill="1" applyBorder="1" applyAlignment="1">
      <x:alignment horizontal="center" vertical="top" wrapText="1"/>
    </x:xf>
    <x:xf numFmtId="201" fontId="18" fillId="18" borderId="1" xfId="0" applyNumberFormat="1" applyFont="1" applyFill="1" applyBorder="1" applyAlignment="1">
      <x:alignment horizontal="center" vertical="top" wrapText="1"/>
    </x:xf>
    <x:xf numFmtId="0" fontId="17" fillId="0" borderId="1" xfId="0" applyNumberFormat="1" applyFont="1" applyFill="1" applyBorder="1" applyAlignment="1">
      <x:alignment vertical="top" wrapText="1"/>
    </x:xf>
    <x:xf numFmtId="209" fontId="7" fillId="0" borderId="1" xfId="0" applyNumberFormat="1" applyFont="1" applyFill="1" applyBorder="1" applyAlignment="1">
      <x:alignment vertical="top" wrapText="1"/>
    </x:xf>
    <x:xf numFmtId="210" fontId="7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edd0b8a7e94f9a" /><Relationship Type="http://schemas.openxmlformats.org/officeDocument/2006/relationships/theme" Target="/xl/theme/theme1.xml" Id="R04f16ac1889b4785" /><Relationship Type="http://schemas.openxmlformats.org/officeDocument/2006/relationships/sharedStrings" Target="/xl/sharedStrings.xml" Id="Rbb4bbf9a796e44f1" /><Relationship Type="http://schemas.openxmlformats.org/officeDocument/2006/relationships/worksheet" Target="/xl/worksheets/sheet1.xml" Id="Rc99f5efc2b3d4560" /><Relationship Type="http://schemas.openxmlformats.org/officeDocument/2006/relationships/worksheet" Target="/xl/worksheets/sheet2.xml" Id="R23528d224c3f460c" /><Relationship Type="http://schemas.openxmlformats.org/officeDocument/2006/relationships/worksheet" Target="/xl/worksheets/sheet3.xml" Id="Ra12c0ef8a6af4fbc" /><Relationship Type="http://schemas.openxmlformats.org/officeDocument/2006/relationships/worksheet" Target="/xl/worksheets/sheet4.xml" Id="R7ddff08d5a3b4a9a" /><Relationship Type="http://schemas.openxmlformats.org/officeDocument/2006/relationships/worksheet" Target="/xl/worksheets/sheet5.xml" Id="R83179c464635463a" /><Relationship Type="http://schemas.openxmlformats.org/officeDocument/2006/relationships/worksheet" Target="/xl/worksheets/sheet6.xml" Id="R0a0d3b8ff9c44609" /><Relationship Type="http://schemas.openxmlformats.org/officeDocument/2006/relationships/worksheet" Target="/xl/worksheets/sheet7.xml" Id="Rbda74bb7ff8544a3" /><Relationship Type="http://schemas.openxmlformats.org/officeDocument/2006/relationships/worksheet" Target="/xl/worksheets/sheet8.xml" Id="R0bde4c4914574f8f" /><Relationship Type="http://schemas.openxmlformats.org/officeDocument/2006/relationships/worksheet" Target="/xl/worksheets/sheet9.xml" Id="R2fb9f8c94e954840" /><Relationship Type="http://schemas.openxmlformats.org/officeDocument/2006/relationships/worksheet" Target="/xl/worksheets/sheet10.xml" Id="R347ae8e254e14d7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20" hidden="0" customWidth="1"/>
    <x:col min="3" max="3" width="13" hidden="0" customWidth="1"/>
    <x:col min="4" max="4" width="43" hidden="0" customWidth="1"/>
    <x:col min="5" max="5" width="17" hidden="0" customWidth="1"/>
    <x:col min="6" max="6" width="18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</x:cols>
  <x:sheetData>
    <x:row r="1" ht="32" customHeight="1">
      <x:c r="A1" s="45" t="str">
        <x:v>Buro128 — финансовая модель на 5 лет</x:v>
      </x:c>
      <x:c r="B1" s="45"/>
      <x:c r="C1" s="45"/>
      <x:c r="D1" s="45"/>
      <x:c r="E1" s="45"/>
      <x:c r="F1" s="45"/>
      <x:c r="G1" s="45"/>
      <x:c r="H1" s="45"/>
      <x:c r="I1" s="45"/>
      <x:c r="J1" s="45"/>
      <x:c r="K1" s="45"/>
      <x:c r="L1" s="45"/>
      <x:c r="M1" s="45"/>
      <x:c r="N1" s="45"/>
      <x:c r="O1" s="45"/>
      <x:c r="P1" s="45"/>
      <x:c r="Q1" s="45"/>
    </x:row>
    <x:row r="2" ht="34" customHeight="1">
      <x:c r="A2" s="7" t="str">
        <x:v>Сводка выбранного сценария, экономики продуктовых когорт, денежного потока и расчётной доходности инвестора. Все ключевые допущения меняются на листе Assumptions.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</x:row>
    <x:row r="3">
      <x:c r="A3" s="165" t="str">
        <x:v>Выбранный сценарий</x:v>
      </x:c>
      <x:c r="B3" s="166" t="str">
        <x:f>CHOOSE(Assumptions!B3,"Консервативный","Базовый","Рост")</x:f>
        <x:v>Базовый</x:v>
      </x:c>
      <x:c r="C3" s="179" t="str">
        <x:v>Сценарий меняется на листе Assumptions</x:v>
      </x:c>
      <x:c r="D3" s="179"/>
      <x:c r="E3" s="179"/>
      <x:c r="F3" s="179"/>
      <x:c r="G3" s="179"/>
      <x:c r="H3" s="48"/>
      <x:c r="I3" s="48"/>
      <x:c r="J3" s="48"/>
      <x:c r="K3" s="48"/>
      <x:c r="L3" s="48"/>
      <x:c r="M3" s="48"/>
      <x:c r="N3" s="48"/>
      <x:c r="O3" s="48"/>
      <x:c r="P3" s="48"/>
      <x:c r="Q3" s="48"/>
    </x:row>
    <x:row r="4">
      <x:c r="A4" s="48"/>
      <x:c r="B4" s="48"/>
      <x:c r="C4" s="48"/>
      <x:c r="D4" s="48"/>
      <x:c r="E4" s="48"/>
      <x:c r="F4" s="48"/>
      <x:c r="G4" s="48"/>
      <x:c r="H4" s="48"/>
      <x:c r="I4" s="48"/>
      <x:c r="J4" s="48"/>
      <x:c r="K4" s="48"/>
      <x:c r="L4" s="48"/>
      <x:c r="M4" s="48"/>
      <x:c r="N4" s="48"/>
      <x:c r="O4" s="48"/>
      <x:c r="P4" s="48"/>
      <x:c r="Q4" s="48"/>
    </x:row>
    <x:row r="5" ht="28" customHeight="1">
      <x:c r="A5" s="18" t="str">
        <x:v>Показатель</x:v>
      </x:c>
      <x:c r="B5" s="18" t="str">
        <x:v>Расшифровка</x:v>
      </x:c>
      <x:c r="C5" s="18" t="str">
        <x:v>Год 1</x:v>
      </x:c>
      <x:c r="D5" s="18" t="str">
        <x:v>Год 2</x:v>
      </x:c>
      <x:c r="E5" s="18" t="str">
        <x:v>Год 3</x:v>
      </x:c>
      <x:c r="F5" s="18" t="str">
        <x:v>Год 4</x:v>
      </x:c>
      <x:c r="G5" s="18" t="str">
        <x:v>Год 5</x:v>
      </x:c>
      <x:c r="H5" s="48"/>
      <x:c r="I5" s="18" t="str">
        <x:v>Сценарий</x:v>
      </x:c>
      <x:c r="J5" s="18" t="str">
        <x:v>Выручка, год 1</x:v>
      </x:c>
      <x:c r="K5" s="18" t="str">
        <x:v>EBITDA, год 1</x:v>
      </x:c>
      <x:c r="L5" s="18" t="str">
        <x:v>Выручка, год 3</x:v>
      </x:c>
      <x:c r="M5" s="18" t="str">
        <x:v>EBITDA, год 3</x:v>
      </x:c>
      <x:c r="N5" s="18" t="str">
        <x:v>Выручка, год 5</x:v>
      </x:c>
      <x:c r="O5" s="18" t="str">
        <x:v>EBITDA, год 5</x:v>
      </x:c>
      <x:c r="P5" s="18" t="str">
        <x:v>Расшифровка</x:v>
      </x:c>
      <x:c r="Q5" s="18" t="str">
        <x:v>MOIC инвестора, год 2</x:v>
      </x:c>
    </x:row>
    <x:row r="6" ht="46" customHeight="1">
      <x:c r="A6" s="22" t="str">
        <x:v>Название результата</x:v>
      </x:c>
      <x:c r="B6" s="22" t="str">
        <x:v>Что означает показатель</x:v>
      </x:c>
      <x:c r="C6" s="22" t="str">
        <x:v>Итог первого года</x:v>
      </x:c>
      <x:c r="D6" s="22" t="str">
        <x:v>Итог второго года</x:v>
      </x:c>
      <x:c r="E6" s="22" t="str">
        <x:v>Итог третьего года</x:v>
      </x:c>
      <x:c r="F6" s="22" t="str">
        <x:v>Итог четвёртого года</x:v>
      </x:c>
      <x:c r="G6" s="22" t="str">
        <x:v>Итог пятого года</x:v>
      </x:c>
      <x:c r="H6" s="48"/>
      <x:c r="I6" s="22" t="str">
        <x:v>Вариант развития</x:v>
      </x:c>
      <x:c r="J6" s="22" t="str">
        <x:v>Продажи первого года</x:v>
      </x:c>
      <x:c r="K6" s="22" t="str">
        <x:v>Операционный результат первого года</x:v>
      </x:c>
      <x:c r="L6" s="22" t="str">
        <x:v>Продажи третьего года</x:v>
      </x:c>
      <x:c r="M6" s="22" t="str">
        <x:v>Операционный результат третьего года</x:v>
      </x:c>
      <x:c r="N6" s="22" t="str">
        <x:v>Продажи пятого года</x:v>
      </x:c>
      <x:c r="O6" s="22" t="str">
        <x:v>Операционный результат пятого года</x:v>
      </x:c>
      <x:c r="P6" s="22" t="str">
        <x:v>Для чего нужен сценарий</x:v>
      </x:c>
      <x:c r="Q6" s="22" t="str">
        <x:v>Стоимость доли / 25 млн ₽ к концу второго года</x:v>
      </x:c>
    </x:row>
    <x:row r="7">
      <x:c r="A7" s="26" t="str">
        <x:v>Выручка</x:v>
      </x:c>
      <x:c r="B7" s="26" t="str">
        <x:v>Все продажи продуктов и услуг</x:v>
      </x:c>
      <x:c r="C7" s="190" t="n">
        <x:f>'P&amp;L and Cash'!C7</x:f>
        <x:v>65000000</x:v>
      </x:c>
      <x:c r="D7" s="196" t="n">
        <x:f>'P&amp;L and Cash'!D7</x:f>
        <x:v>94999999.99997002</x:v>
      </x:c>
      <x:c r="E7" s="202" t="n">
        <x:f>'P&amp;L and Cash'!E7</x:f>
        <x:v>139999999.9999258</x:v>
      </x:c>
      <x:c r="F7" s="205" t="n">
        <x:f>'P&amp;L and Cash'!F7</x:f>
        <x:v>219999999.99994344</x:v>
      </x:c>
      <x:c r="G7" s="209" t="n">
        <x:f>'P&amp;L and Cash'!G7</x:f>
        <x:v>362000000.00000685</x:v>
      </x:c>
      <x:c r="H7" s="48"/>
      <x:c r="I7" s="26" t="str">
        <x:v>Консервативный</x:v>
      </x:c>
      <x:c r="J7" s="42" t="n">
        <x:f>Assumptions!$D$35*1</x:f>
        <x:v>35000000</x:v>
      </x:c>
      <x:c r="K7" s="42" t="n">
        <x:f>(Assumptions!$D$35*1)-(Assumptions!$D$35*1)*(Assumptions!$B$51*Assumptions!$D$21+Assumptions!$B$52*Assumptions!$D$23+Assumptions!$B$53*Assumptions!$D$22+Assumptions!$B$54*Assumptions!$D$23+Assumptions!$B$55*Assumptions!$D$21+Assumptions!$B$56*Assumptions!$D$24+Assumptions!$B$57*Assumptions!$D$25+Assumptions!$B$58*Assumptions!$D$26)-((Assumptions!$D$35*1)/Assumptions!$D$18*Assumptions!$B$65*Assumptions!$D$20)-(9.3*(Assumptions!$D$29+Assumptions!$D$30+Assumptions!$D$31+Assumptions!$D$32)*POWER(1+Assumptions!$D$40,0))</x:f>
        <x:v>11749999.999999996</x:v>
      </x:c>
      <x:c r="L7" s="42" t="n">
        <x:f>Assumptions!$D$35*(1+Assumptions!$D$36)*(1+Assumptions!$D$37)</x:f>
        <x:v>57999999.99999211</x:v>
      </x:c>
      <x:c r="M7" s="42" t="n">
        <x:f>(Assumptions!$D$35*(1+Assumptions!$D$36)*(1+Assumptions!$D$37))-(Assumptions!$D$35*(1+Assumptions!$D$36)*(1+Assumptions!$D$37))*(Assumptions!$D$51*Assumptions!$D$21+Assumptions!$D$52*Assumptions!$D$23+Assumptions!$D$53*Assumptions!$D$22+Assumptions!$D$54*Assumptions!$D$23+Assumptions!$D$55*Assumptions!$D$21+Assumptions!$D$56*Assumptions!$D$24+Assumptions!$D$57*Assumptions!$D$25+Assumptions!$D$58*Assumptions!$D$26)-((Assumptions!$D$35*(1+Assumptions!$D$36)*(1+Assumptions!$D$37))/Assumptions!$D$18*Assumptions!$B$65*Assumptions!$D$20)-(12*(Assumptions!$D$29+Assumptions!$D$30+Assumptions!$D$31+Assumptions!$D$32)*POWER(1+Assumptions!$D$40,2))</x:f>
        <x:v>23477099.99999551</x:v>
      </x:c>
      <x:c r="N7" s="42" t="n">
        <x:f>Assumptions!$D$35*(1+Assumptions!$D$36)*(1+Assumptions!$D$37)*(1+Assumptions!$D$38)*(1+Assumptions!$D$39)</x:f>
        <x:v>95000000.00002222</x:v>
      </x:c>
      <x:c r="O7" s="42" t="n">
        <x:f>(Assumptions!$D$35*(1+Assumptions!$D$36)*(1+Assumptions!$D$37)*(1+Assumptions!$D$38)*(1+Assumptions!$D$39))-(Assumptions!$D$35*(1+Assumptions!$D$36)*(1+Assumptions!$D$37)*(1+Assumptions!$D$38)*(1+Assumptions!$D$39))*(Assumptions!$F$51*Assumptions!$D$21+Assumptions!$F$52*Assumptions!$D$23+Assumptions!$F$53*Assumptions!$D$22+Assumptions!$F$54*Assumptions!$D$23+Assumptions!$F$55*Assumptions!$D$21+Assumptions!$F$56*Assumptions!$D$24+Assumptions!$F$57*Assumptions!$D$25+Assumptions!$F$58*Assumptions!$D$26)-((Assumptions!$D$35*(1+Assumptions!$D$36)*(1+Assumptions!$D$37)*(1+Assumptions!$D$38)*(1+Assumptions!$D$39))/Assumptions!$D$18*Assumptions!$B$65*Assumptions!$D$20)-(12*(Assumptions!$D$29+Assumptions!$D$30+Assumptions!$D$31+Assumptions!$D$32)*POWER(1+Assumptions!$D$40,4))</x:f>
        <x:v>47392920.71001345</x:v>
      </x:c>
      <x:c r="P7" s="26" t="str">
        <x:v>Проверка продукта при более медленном спросе</x:v>
      </x:c>
      <x:c r="Q7" s="89" t="n">
        <x:f>((Assumptions!$D$35*(1+Assumptions!$D$36))-(Assumptions!$D$35*(1+Assumptions!$D$36))*(Assumptions!$C$51*Assumptions!$D$21+Assumptions!$C$52*Assumptions!$D$23+Assumptions!$C$53*Assumptions!$D$22+Assumptions!$C$54*Assumptions!$D$23+Assumptions!$C$55*Assumptions!$D$21+Assumptions!$C$56*Assumptions!$D$24+Assumptions!$C$57*Assumptions!$D$25+Assumptions!$C$58*Assumptions!$D$26)-((Assumptions!$D$35*(1+Assumptions!$D$36))/Assumptions!$D$18*Assumptions!$B$65*Assumptions!$D$20)-(12*(Assumptions!$D$29+Assumptions!$D$30+Assumptions!$D$31+Assumptions!$D$32)*POWER(1+Assumptions!$D$40,1)))*Assumptions!$D$42*Assumptions!$D$41/Assumptions!$D$34</x:f>
        <x:v>1.2344399999995608</x:v>
      </x:c>
    </x:row>
    <x:row r="8">
      <x:c r="A8" s="26" t="str">
        <x:v>EBITDA</x:v>
      </x:c>
      <x:c r="B8" s="26" t="str">
        <x:v>Операционная прибыль до капитальных затрат</x:v>
      </x:c>
      <x:c r="C8" s="190" t="n">
        <x:f>'P&amp;L and Cash'!C35</x:f>
        <x:v>31651000.000000004</x:v>
      </x:c>
      <x:c r="D8" s="196" t="n">
        <x:f>'P&amp;L and Cash'!D35</x:f>
        <x:v>48384499.99997906</x:v>
      </x:c>
      <x:c r="E8" s="202" t="n">
        <x:f>'P&amp;L and Cash'!E35</x:f>
        <x:v>78973499.9999468</x:v>
      </x:c>
      <x:c r="F8" s="205" t="n">
        <x:f>'P&amp;L and Cash'!F35</x:f>
        <x:v>134295074.9999585</x:v>
      </x:c>
      <x:c r="G8" s="209" t="n">
        <x:f>'P&amp;L and Cash'!G35</x:f>
        <x:v>234656228.75000516</x:v>
      </x:c>
      <x:c r="H8" s="48"/>
      <x:c r="I8" s="218" t="str">
        <x:v>Базовый</x:v>
      </x:c>
      <x:c r="J8" s="219" t="n">
        <x:f>Assumptions!$E$35*1</x:f>
        <x:v>65000000</x:v>
      </x:c>
      <x:c r="K8" s="219" t="n">
        <x:f>(Assumptions!$E$35*1)-(Assumptions!$E$35*1)*(Assumptions!$B$51*Assumptions!$E$21+Assumptions!$B$52*Assumptions!$E$23+Assumptions!$B$53*Assumptions!$E$22+Assumptions!$B$54*Assumptions!$E$23+Assumptions!$B$55*Assumptions!$E$21+Assumptions!$B$56*Assumptions!$E$24+Assumptions!$B$57*Assumptions!$E$25+Assumptions!$B$58*Assumptions!$E$26)-((Assumptions!$E$35*1)/Assumptions!$E$18*Assumptions!$B$65*Assumptions!$E$20)-(9.3*(Assumptions!$E$29+Assumptions!$E$30+Assumptions!$E$31+Assumptions!$E$32)*POWER(1+Assumptions!$E$40,0))</x:f>
        <x:v>31660000</x:v>
      </x:c>
      <x:c r="L8" s="219" t="n">
        <x:f>Assumptions!$E$35*(1+Assumptions!$E$36)*(1+Assumptions!$E$37)</x:f>
        <x:v>139999999.9999258</x:v>
      </x:c>
      <x:c r="M8" s="219" t="n">
        <x:f>(Assumptions!$E$35*(1+Assumptions!$E$36)*(1+Assumptions!$E$37))-(Assumptions!$E$35*(1+Assumptions!$E$36)*(1+Assumptions!$E$37))*(Assumptions!$D$51*Assumptions!$E$21+Assumptions!$D$52*Assumptions!$E$23+Assumptions!$D$53*Assumptions!$E$22+Assumptions!$D$54*Assumptions!$E$23+Assumptions!$D$55*Assumptions!$E$21+Assumptions!$D$56*Assumptions!$E$24+Assumptions!$D$57*Assumptions!$E$25+Assumptions!$D$58*Assumptions!$E$26)-((Assumptions!$E$35*(1+Assumptions!$E$36)*(1+Assumptions!$E$37))/Assumptions!$E$18*Assumptions!$B$65*Assumptions!$E$20)-(12*(Assumptions!$E$29+Assumptions!$E$30+Assumptions!$E$31+Assumptions!$E$32)*POWER(1+Assumptions!$E$40,2))</x:f>
        <x:v>78991499.99995148</x:v>
      </x:c>
      <x:c r="N8" s="219" t="n">
        <x:f>Assumptions!$E$35*(1+Assumptions!$E$36)*(1+Assumptions!$E$37)*(1+Assumptions!$E$38)*(1+Assumptions!$E$39)</x:f>
        <x:v>362000000.00000685</x:v>
      </x:c>
      <x:c r="O8" s="219" t="n">
        <x:f>(Assumptions!$E$35*(1+Assumptions!$E$36)*(1+Assumptions!$E$37)*(1+Assumptions!$E$38)*(1+Assumptions!$E$39))-(Assumptions!$E$35*(1+Assumptions!$E$36)*(1+Assumptions!$E$37)*(1+Assumptions!$E$38)*(1+Assumptions!$E$39))*(Assumptions!$F$51*Assumptions!$E$21+Assumptions!$F$52*Assumptions!$E$23+Assumptions!$F$53*Assumptions!$E$22+Assumptions!$F$54*Assumptions!$E$23+Assumptions!$F$55*Assumptions!$E$21+Assumptions!$F$56*Assumptions!$E$24+Assumptions!$F$57*Assumptions!$E$25+Assumptions!$F$58*Assumptions!$E$26)-((Assumptions!$E$35*(1+Assumptions!$E$36)*(1+Assumptions!$E$37)*(1+Assumptions!$E$38)*(1+Assumptions!$E$39))/Assumptions!$E$18*Assumptions!$B$65*Assumptions!$E$20)-(12*(Assumptions!$E$29+Assumptions!$E$30+Assumptions!$E$31+Assumptions!$E$32)*POWER(1+Assumptions!$E$40,4))</x:f>
        <x:v>234656228.7500047</x:v>
      </x:c>
      <x:c r="P8" s="218" t="str">
        <x:v>Основной рабочий план</x:v>
      </x:c>
      <x:c r="Q8" s="220" t="n">
        <x:f>((Assumptions!$E$35*(1+Assumptions!$E$36))-(Assumptions!$E$35*(1+Assumptions!$E$36))*(Assumptions!$C$51*Assumptions!$E$21+Assumptions!$C$52*Assumptions!$E$23+Assumptions!$C$53*Assumptions!$E$22+Assumptions!$C$54*Assumptions!$E$23+Assumptions!$C$55*Assumptions!$E$21+Assumptions!$C$56*Assumptions!$E$24+Assumptions!$C$57*Assumptions!$E$25+Assumptions!$C$58*Assumptions!$E$26)-((Assumptions!$E$35*(1+Assumptions!$E$36))/Assumptions!$E$18*Assumptions!$B$65*Assumptions!$E$20)-(12*(Assumptions!$E$29+Assumptions!$E$30+Assumptions!$E$31+Assumptions!$E$32)*POWER(1+Assumptions!$E$40,1)))*Assumptions!$E$42*Assumptions!$E$41/Assumptions!$E$34</x:f>
        <x:v>3.8721999999984753</x:v>
      </x:c>
    </x:row>
    <x:row r="9">
      <x:c r="A9" s="26" t="str">
        <x:v>EBITDA margin</x:v>
      </x:c>
      <x:c r="B9" s="26" t="str">
        <x:v>Доля EBITDA в выручке</x:v>
      </x:c>
      <x:c r="C9" s="191" t="n">
        <x:f>'P&amp;L and Cash'!C36</x:f>
        <x:v>0.4869384615384616</x:v>
      </x:c>
      <x:c r="D9" s="197" t="n">
        <x:f>'P&amp;L and Cash'!D36</x:f>
        <x:v>0.5093105263157297</x:v>
      </x:c>
      <x:c r="E9" s="203" t="n">
        <x:f>'P&amp;L and Cash'!E36</x:f>
        <x:v>0.5640964285713476</x:v>
      </x:c>
      <x:c r="F9" s="206" t="n">
        <x:f>'P&amp;L and Cash'!F36</x:f>
        <x:v>0.6104321590908773</x:v>
      </x:c>
      <x:c r="G9" s="210" t="n">
        <x:f>'P&amp;L and Cash'!G36</x:f>
        <x:v>0.6482216263812174</x:v>
      </x:c>
      <x:c r="H9" s="48"/>
      <x:c r="I9" s="26" t="str">
        <x:v>Рост</x:v>
      </x:c>
      <x:c r="J9" s="42" t="n">
        <x:f>Assumptions!$F$35*1</x:f>
        <x:v>100000000</x:v>
      </x:c>
      <x:c r="K9" s="42" t="n">
        <x:f>(Assumptions!$F$35*1)-(Assumptions!$F$35*1)*(Assumptions!$B$51*Assumptions!$F$21+Assumptions!$B$52*Assumptions!$F$23+Assumptions!$B$53*Assumptions!$F$22+Assumptions!$B$54*Assumptions!$F$23+Assumptions!$B$55*Assumptions!$F$21+Assumptions!$B$56*Assumptions!$F$24+Assumptions!$B$57*Assumptions!$F$25+Assumptions!$B$58*Assumptions!$F$26)-((Assumptions!$F$35*1)/Assumptions!$F$18*Assumptions!$B$65*Assumptions!$F$20)-(9.3*(Assumptions!$F$29+Assumptions!$F$30+Assumptions!$F$31+Assumptions!$F$32)*POWER(1+Assumptions!$F$40,0))</x:f>
        <x:v>56682666.66666667</x:v>
      </x:c>
      <x:c r="L9" s="42" t="n">
        <x:f>Assumptions!$F$35*(1+Assumptions!$F$36)*(1+Assumptions!$F$37)</x:f>
        <x:v>210000000.00000498</x:v>
      </x:c>
      <x:c r="M9" s="42" t="n">
        <x:f>(Assumptions!$F$35*(1+Assumptions!$F$36)*(1+Assumptions!$F$37))-(Assumptions!$F$35*(1+Assumptions!$F$36)*(1+Assumptions!$F$37))*(Assumptions!$D$51*Assumptions!$F$21+Assumptions!$D$52*Assumptions!$F$23+Assumptions!$D$53*Assumptions!$F$22+Assumptions!$D$54*Assumptions!$F$23+Assumptions!$D$55*Assumptions!$F$21+Assumptions!$D$56*Assumptions!$F$24+Assumptions!$D$57*Assumptions!$F$25+Assumptions!$D$58*Assumptions!$F$26)-((Assumptions!$F$35*(1+Assumptions!$F$36)*(1+Assumptions!$F$37))/Assumptions!$F$18*Assumptions!$B$65*Assumptions!$F$20)-(12*(Assumptions!$F$29+Assumptions!$F$30+Assumptions!$F$31+Assumptions!$F$32)*POWER(1+Assumptions!$F$40,2))</x:f>
        <x:v>133179416.0000036</x:v>
      </x:c>
      <x:c r="N9" s="42" t="n">
        <x:f>Assumptions!$F$35*(1+Assumptions!$F$36)*(1+Assumptions!$F$37)*(1+Assumptions!$F$38)*(1+Assumptions!$F$39)</x:f>
        <x:v>480000000.0001614</x:v>
      </x:c>
      <x:c r="O9" s="42" t="n">
        <x:f>(Assumptions!$F$35*(1+Assumptions!$F$36)*(1+Assumptions!$F$37)*(1+Assumptions!$F$38)*(1+Assumptions!$F$39))-(Assumptions!$F$35*(1+Assumptions!$F$36)*(1+Assumptions!$F$37)*(1+Assumptions!$F$38)*(1+Assumptions!$F$39))*(Assumptions!$F$51*Assumptions!$F$21+Assumptions!$F$52*Assumptions!$F$23+Assumptions!$F$53*Assumptions!$F$22+Assumptions!$F$54*Assumptions!$F$23+Assumptions!$F$55*Assumptions!$F$21+Assumptions!$F$56*Assumptions!$F$24+Assumptions!$F$57*Assumptions!$F$25+Assumptions!$F$58*Assumptions!$F$26)-((Assumptions!$F$35*(1+Assumptions!$F$36)*(1+Assumptions!$F$37)*(1+Assumptions!$F$38)*(1+Assumptions!$F$39))/Assumptions!$F$18*Assumptions!$B$65*Assumptions!$F$20)-(12*(Assumptions!$F$29+Assumptions!$F$30+Assumptions!$F$31+Assumptions!$F$32)*POWER(1+Assumptions!$F$40,4))</x:f>
        <x:v>341630302.8225224</x:v>
      </x:c>
      <x:c r="P9" s="26" t="str">
        <x:v>Быстрое масштабирование каналов и партнёров</x:v>
      </x:c>
      <x:c r="Q9" s="89" t="n">
        <x:f>((Assumptions!$F$35*(1+Assumptions!$F$36))-(Assumptions!$F$35*(1+Assumptions!$F$36))*(Assumptions!$C$51*Assumptions!$F$21+Assumptions!$C$52*Assumptions!$F$23+Assumptions!$C$53*Assumptions!$F$22+Assumptions!$C$54*Assumptions!$F$23+Assumptions!$C$55*Assumptions!$F$21+Assumptions!$C$56*Assumptions!$F$24+Assumptions!$C$57*Assumptions!$F$25+Assumptions!$C$58*Assumptions!$F$26)-((Assumptions!$F$35*(1+Assumptions!$F$36))/Assumptions!$F$18*Assumptions!$B$65*Assumptions!$F$20)-(12*(Assumptions!$F$29+Assumptions!$F$30+Assumptions!$F$31+Assumptions!$F$32)*POWER(1+Assumptions!$F$40,1)))*Assumptions!$F$42*Assumptions!$F$41/Assumptions!$F$34</x:f>
        <x:v>6.778149333333335</x:v>
      </x:c>
    </x:row>
    <x:row r="10">
      <x:c r="A10" s="26" t="str">
        <x:v>Деньги на конец года</x:v>
      </x:c>
      <x:c r="B10" s="26" t="str">
        <x:v>Остаток после операций, инвестиций и дивидендов</x:v>
      </x:c>
      <x:c r="C10" s="190" t="n">
        <x:f>'P&amp;L and Cash'!C42</x:f>
        <x:v>55953500</x:v>
      </x:c>
      <x:c r="D10" s="196" t="n">
        <x:f>'P&amp;L and Cash'!D42</x:f>
        <x:v>103392999.99997905</x:v>
      </x:c>
      <x:c r="E10" s="202" t="n">
        <x:f>'P&amp;L and Cash'!E42</x:f>
        <x:v>154080812.49994448</x:v>
      </x:c>
      <x:c r="F10" s="205" t="n">
        <x:f>'P&amp;L and Cash'!F42</x:f>
        <x:v>240695400.62491748</x:v>
      </x:c>
      <x:c r="G10" s="209" t="n">
        <x:f>'P&amp;L and Cash'!G42</x:f>
        <x:v>392510878.1561707</x:v>
      </x:c>
      <x:c r="H10" s="48"/>
      <x:c r="I10" s="48"/>
      <x:c r="J10" s="48"/>
      <x:c r="K10" s="48"/>
      <x:c r="L10" s="48"/>
      <x:c r="M10" s="48"/>
      <x:c r="N10" s="48"/>
      <x:c r="O10" s="48"/>
      <x:c r="P10" s="48"/>
      <x:c r="Q10" s="48"/>
    </x:row>
    <x:row r="11">
      <x:c r="A11" s="26" t="str">
        <x:v>Дивиденды инвестору</x:v>
      </x:c>
      <x:c r="B11" s="26" t="str">
        <x:v>Доля инвестора в объявленных дивидендах</x:v>
      </x:c>
      <x:c r="C11" s="190" t="n">
        <x:f>-'P&amp;L and Cash'!C41*Assumptions!$C$41</x:f>
        <x:v>0</x:v>
      </x:c>
      <x:c r="D11" s="196" t="n">
        <x:f>-'P&amp;L and Cash'!D41*Assumptions!$C$41</x:f>
        <x:v>0</x:v>
      </x:c>
      <x:c r="E11" s="202" t="n">
        <x:f>-'P&amp;L and Cash'!E41*Assumptions!$C$41</x:f>
        <x:v>5458687.499996275</x:v>
      </x:c>
      <x:c r="F11" s="205" t="n">
        <x:f>-'P&amp;L and Cash'!F41*Assumptions!$C$41</x:f>
        <x:v>9327724.874997094</x:v>
      </x:c>
      <x:c r="G11" s="209" t="n">
        <x:f>-'P&amp;L and Cash'!G41*Assumptions!$C$41</x:f>
        <x:v>16349359.118750362</x:v>
      </x:c>
      <x:c r="H11" s="48"/>
      <x:c r="I11" s="222" t="str">
        <x:v>Инвестиционное предложение</x:v>
      </x:c>
      <x:c r="J11" s="222"/>
      <x:c r="K11" s="222"/>
      <x:c r="L11" s="222"/>
      <x:c r="M11" s="222"/>
      <x:c r="N11" s="222"/>
      <x:c r="O11" s="222"/>
      <x:c r="P11" s="222"/>
      <x:c r="Q11" s="48"/>
    </x:row>
    <x:row r="12" ht="28" customHeight="1">
      <x:c r="A12" s="26" t="str">
        <x:v>Активные пользователи в начале года</x:v>
      </x:c>
      <x:c r="B12" s="26" t="str">
        <x:v>Платящие пользователи на начало первого месяца</x:v>
      </x:c>
      <x:c r="C12" s="192" t="n">
        <x:f>Revenue!K71</x:f>
        <x:v>0</x:v>
      </x:c>
      <x:c r="D12" s="198" t="n">
        <x:f>Revenue!K72</x:f>
        <x:v>990</x:v>
      </x:c>
      <x:c r="E12" s="204" t="n">
        <x:f>Revenue!K73</x:f>
        <x:v>2110</x:v>
      </x:c>
      <x:c r="F12" s="207" t="n">
        <x:f>Revenue!K74</x:f>
        <x:v>4499</x:v>
      </x:c>
      <x:c r="G12" s="211" t="n">
        <x:f>Revenue!K75</x:f>
        <x:v>9254</x:v>
      </x:c>
      <x:c r="H12" s="48"/>
      <x:c r="I12" s="18" t="str">
        <x:v>Раунд</x:v>
      </x:c>
      <x:c r="J12" s="18" t="str">
        <x:v>Доля инвестора</x:v>
      </x:c>
      <x:c r="K12" s="18" t="str">
        <x:v>Pre-money</x:v>
      </x:c>
      <x:c r="L12" s="18" t="str">
        <x:v>Post-money</x:v>
      </x:c>
      <x:c r="M12" s="18" t="str">
        <x:v>Дивиденды с года 3</x:v>
      </x:c>
      <x:c r="N12" s="18" t="str">
        <x:v>Оценка выхода</x:v>
      </x:c>
      <x:c r="O12" s="48"/>
      <x:c r="P12" s="48"/>
      <x:c r="Q12" s="48"/>
    </x:row>
    <x:row r="13">
      <x:c r="A13" s="26" t="str">
        <x:v>Новые активные пользователи</x:v>
      </x:c>
      <x:c r="B13" s="26" t="str">
        <x:v>Сколько платящих пользователей добавилось за год</x:v>
      </x:c>
      <x:c r="C13" s="192" t="n">
        <x:f>Revenue!L71</x:f>
        <x:v>2580</x:v>
      </x:c>
      <x:c r="D13" s="198" t="n">
        <x:f>Revenue!L72</x:f>
        <x:v>4661</x:v>
      </x:c>
      <x:c r="E13" s="204" t="n">
        <x:f>Revenue!L73</x:f>
        <x:v>9898</x:v>
      </x:c>
      <x:c r="F13" s="207" t="n">
        <x:f>Revenue!L74</x:f>
        <x:v>20188</x:v>
      </x:c>
      <x:c r="G13" s="211" t="n">
        <x:f>Revenue!L75</x:f>
        <x:v>40822</x:v>
      </x:c>
      <x:c r="H13" s="48"/>
      <x:c r="I13" s="58" t="n">
        <x:f>Assumptions!$C$34</x:f>
        <x:v>25000000</x:v>
      </x:c>
      <x:c r="J13" s="60" t="n">
        <x:f>Assumptions!$C$41</x:f>
        <x:v>0.2</x:v>
      </x:c>
      <x:c r="K13" s="58" t="n">
        <x:f>I13/J13-I13</x:f>
        <x:v>100000000</x:v>
      </x:c>
      <x:c r="L13" s="58" t="n">
        <x:f>I13/J13</x:f>
        <x:v>125000000</x:v>
      </x:c>
      <x:c r="M13" s="60" t="n">
        <x:f>Assumptions!$C$45</x:f>
        <x:v>0.35</x:v>
      </x:c>
      <x:c r="N13" s="107" t="n">
        <x:f>Assumptions!$C$42</x:f>
        <x:v>10</x:v>
      </x:c>
      <x:c r="O13" s="48"/>
      <x:c r="P13" s="48"/>
      <x:c r="Q13" s="48"/>
    </x:row>
    <x:row r="14">
      <x:c r="A14" s="26" t="str">
        <x:v>Ушедшие пользователи</x:v>
      </x:c>
      <x:c r="B14" s="26" t="str">
        <x:v>Сколько платящих пользователей прекратило оплату</x:v>
      </x:c>
      <x:c r="C14" s="192" t="n">
        <x:f>Revenue!M71</x:f>
        <x:v>1590</x:v>
      </x:c>
      <x:c r="D14" s="198" t="n">
        <x:f>Revenue!M72</x:f>
        <x:v>3541</x:v>
      </x:c>
      <x:c r="E14" s="204" t="n">
        <x:f>Revenue!M73</x:f>
        <x:v>7509</x:v>
      </x:c>
      <x:c r="F14" s="207" t="n">
        <x:f>Revenue!M74</x:f>
        <x:v>15433</x:v>
      </x:c>
      <x:c r="G14" s="211" t="n">
        <x:f>Revenue!M75</x:f>
        <x:v>31280</x:v>
      </x:c>
      <x:c r="H14" s="48"/>
      <x:c r="I14" s="48"/>
      <x:c r="J14" s="48"/>
      <x:c r="K14" s="48"/>
      <x:c r="L14" s="48"/>
      <x:c r="M14" s="48"/>
      <x:c r="N14" s="48"/>
      <x:c r="O14" s="48"/>
      <x:c r="P14" s="48"/>
      <x:c r="Q14" s="48"/>
    </x:row>
    <x:row r="15">
      <x:c r="A15" s="26" t="str">
        <x:v>Активные пользователи в конце года</x:v>
      </x:c>
      <x:c r="B15" s="26" t="str">
        <x:v>Платящие пользователи на конец последнего месяца</x:v>
      </x:c>
      <x:c r="C15" s="192" t="n">
        <x:f>Revenue!N71</x:f>
        <x:v>990</x:v>
      </x:c>
      <x:c r="D15" s="198" t="n">
        <x:f>Revenue!N72</x:f>
        <x:v>2110</x:v>
      </x:c>
      <x:c r="E15" s="204" t="n">
        <x:f>Revenue!N73</x:f>
        <x:v>4499</x:v>
      </x:c>
      <x:c r="F15" s="207" t="n">
        <x:f>Revenue!N74</x:f>
        <x:v>9254</x:v>
      </x:c>
      <x:c r="G15" s="211" t="n">
        <x:f>Revenue!N75</x:f>
        <x:v>18796</x:v>
      </x:c>
      <x:c r="H15" s="48"/>
      <x:c r="I15" s="238" t="str">
        <x:v>25 млн ₽ за 20% компании: оценка 100 млн ₽ до раунда и 125 млн ₽ после раунда. Условия сделки и дивидендная политика фиксируются в term sheet.</x:v>
      </x:c>
      <x:c r="J15" s="239"/>
      <x:c r="K15" s="239"/>
      <x:c r="L15" s="239"/>
      <x:c r="M15" s="239"/>
      <x:c r="N15" s="239"/>
      <x:c r="O15" s="239"/>
      <x:c r="P15" s="240"/>
      <x:c r="Q15" s="48"/>
    </x:row>
    <x:row r="16">
      <x:c r="A16" s="26" t="str">
        <x:v>Средний месячный отток</x:v>
      </x:c>
      <x:c r="B16" s="26" t="str">
        <x:v>Ушедшие пользователи относительно активной базы</x:v>
      </x:c>
      <x:c r="C16" s="191" t="n">
        <x:f>Revenue!O71</x:f>
        <x:v>0.17250732342410763</x:v>
      </x:c>
      <x:c r="D16" s="197" t="n">
        <x:f>Revenue!O72</x:f>
        <x:v>0.17159333204109323</x:v>
      </x:c>
      <x:c r="E16" s="203" t="n">
        <x:f>Revenue!O73</x:f>
        <x:v>0.17067072754960566</x:v>
      </x:c>
      <x:c r="F16" s="206" t="n">
        <x:f>Revenue!O74</x:f>
        <x:v>0.1702575983231287</x:v>
      </x:c>
      <x:c r="G16" s="210" t="n">
        <x:f>Revenue!O75</x:f>
        <x:v>0.16978500051565137</x:v>
      </x:c>
      <x:c r="H16" s="48"/>
      <x:c r="I16" s="241"/>
      <x:c r="J16" s="242"/>
      <x:c r="K16" s="242"/>
      <x:c r="L16" s="242"/>
      <x:c r="M16" s="242"/>
      <x:c r="N16" s="242"/>
      <x:c r="O16" s="242"/>
      <x:c r="P16" s="243"/>
      <x:c r="Q16" s="48"/>
    </x:row>
    <x:row r="17">
      <x:c r="A17" s="26" t="str">
        <x:v>Потенциальные клиенты</x:v>
      </x:c>
      <x:c r="B17" s="26" t="str">
        <x:v>Люди с подтверждённым интересом, необходимые для плана</x:v>
      </x:c>
      <x:c r="C17" s="192" t="n">
        <x:f>Funnel!C71</x:f>
        <x:v>1306</x:v>
      </x:c>
      <x:c r="D17" s="198" t="n">
        <x:f>Funnel!C72</x:f>
        <x:v>1906</x:v>
      </x:c>
      <x:c r="E17" s="204" t="n">
        <x:f>Funnel!C73</x:f>
        <x:v>2805</x:v>
      </x:c>
      <x:c r="F17" s="207" t="n">
        <x:f>Funnel!C74</x:f>
        <x:v>4405</x:v>
      </x:c>
      <x:c r="G17" s="211" t="n">
        <x:f>Funnel!C75</x:f>
        <x:v>7247</x:v>
      </x:c>
      <x:c r="H17" s="48"/>
      <x:c r="I17" s="48"/>
      <x:c r="J17" s="48"/>
      <x:c r="K17" s="48"/>
      <x:c r="L17" s="48"/>
      <x:c r="M17" s="48"/>
      <x:c r="N17" s="48"/>
      <x:c r="O17" s="48"/>
      <x:c r="P17" s="48"/>
      <x:c r="Q17" s="48"/>
    </x:row>
    <x:row r="18" ht="24" customHeight="1">
      <x:c r="A18" s="185" t="str">
        <x:v>Новые платящие клиенты</x:v>
      </x:c>
      <x:c r="B18" s="185" t="str">
        <x:v>Количество первых оплат</x:v>
      </x:c>
      <x:c r="C18" s="193" t="n">
        <x:f>Funnel!D71</x:f>
        <x:v>266</x:v>
      </x:c>
      <x:c r="D18" s="199" t="n">
        <x:f>Funnel!D72</x:f>
        <x:v>385</x:v>
      </x:c>
      <x:c r="E18" s="187" t="n">
        <x:f>Funnel!D73</x:f>
        <x:v>567</x:v>
      </x:c>
      <x:c r="F18" s="208" t="n">
        <x:f>Funnel!D74</x:f>
        <x:v>885</x:v>
      </x:c>
      <x:c r="G18" s="212" t="n">
        <x:f>Funnel!D75</x:f>
        <x:v>1455</x:v>
      </x:c>
      <x:c r="H18" s="48"/>
      <x:c r="I18" s="37"/>
      <x:c r="J18" s="37"/>
      <x:c r="K18" s="37"/>
      <x:c r="L18" s="37"/>
      <x:c r="M18" s="37"/>
      <x:c r="N18" s="37"/>
      <x:c r="O18" s="37"/>
      <x:c r="P18" s="37"/>
      <x:c r="Q18" s="48"/>
    </x:row>
    <x:row r="19" ht="28" customHeight="1">
      <x:c r="A19" s="186" t="str">
        <x:v>Бюджет платной рекламы</x:v>
      </x:c>
      <x:c r="B19" s="186" t="str">
        <x:v>Расходы на платное привлечение</x:v>
      </x:c>
      <x:c r="C19" s="194" t="n">
        <x:f>Funnel!E71</x:f>
        <x:v>4104000</x:v>
      </x:c>
      <x:c r="D19" s="200" t="n">
        <x:f>Funnel!E72</x:f>
        <x:v>6003000</x:v>
      </x:c>
      <x:c r="E19" s="202" t="n">
        <x:f>Funnel!E73</x:f>
        <x:v>8838000</x:v>
      </x:c>
      <x:c r="F19" s="205" t="n">
        <x:f>Funnel!E74</x:f>
        <x:v>13878000</x:v>
      </x:c>
      <x:c r="G19" s="209" t="n">
        <x:f>Funnel!E75</x:f>
        <x:v>22806000</x:v>
      </x:c>
      <x:c r="H19" s="48"/>
      <x:c r="I19" s="18"/>
      <x:c r="J19" s="18"/>
      <x:c r="K19" s="18"/>
      <x:c r="L19" s="18"/>
      <x:c r="M19" s="18"/>
      <x:c r="N19" s="18"/>
      <x:c r="O19" s="18"/>
      <x:c r="P19" s="18"/>
      <x:c r="Q19" s="48"/>
    </x:row>
    <x:row r="20" ht="24" customHeight="1">
      <x:c r="A20" s="182" t="str">
        <x:v>Доля самостоятельного ремонта</x:v>
      </x:c>
      <x:c r="B20" s="182" t="str">
        <x:v>Light, экспертный тариф, AI, услуги и типовой маршрут</x:v>
      </x:c>
      <x:c r="C20" s="195" t="n">
        <x:f>Cohorts!B38</x:f>
        <x:v>0.4</x:v>
      </x:c>
      <x:c r="D20" s="201" t="n">
        <x:f>Cohorts!B39</x:f>
        <x:v>0.5</x:v>
      </x:c>
      <x:c r="E20" s="203" t="n">
        <x:f>Cohorts!B40</x:f>
        <x:v>0.65</x:v>
      </x:c>
      <x:c r="F20" s="206" t="n">
        <x:f>Cohorts!B41</x:f>
        <x:v>0.7899999999999999</x:v>
      </x:c>
      <x:c r="G20" s="210" t="n">
        <x:f>Cohorts!B42</x:f>
        <x:v>0.8999999999999999</x:v>
      </x:c>
      <x:c r="H20" s="48"/>
      <x:c r="I20" s="261" t="str">
        <x:v>Расчётная доходность инвестора: стоимость доли и дивиденды</x:v>
      </x:c>
      <x:c r="J20" s="261"/>
      <x:c r="K20" s="261"/>
      <x:c r="L20" s="261"/>
      <x:c r="M20" s="261"/>
      <x:c r="N20" s="261"/>
      <x:c r="O20" s="261"/>
      <x:c r="P20" s="261"/>
      <x:c r="Q20" s="37"/>
    </x:row>
    <x:row r="21" ht="28" customHeight="1">
      <x:c r="A21" s="26" t="str">
        <x:v>Ассистенты в пике</x:v>
      </x:c>
      <x:c r="B21" s="42" t="str">
        <x:v>Максимальный штат для тарифа 2</x:v>
      </x:c>
      <x:c r="C21" s="192" t="n">
        <x:f>Capacity!D71</x:f>
        <x:v>2</x:v>
      </x:c>
      <x:c r="D21" s="198" t="n">
        <x:f>Capacity!D72</x:f>
        <x:v>4</x:v>
      </x:c>
      <x:c r="E21" s="204" t="n">
        <x:f>Capacity!D73</x:f>
        <x:v>6</x:v>
      </x:c>
      <x:c r="F21" s="207" t="n">
        <x:f>Capacity!D74</x:f>
        <x:v>10</x:v>
      </x:c>
      <x:c r="G21" s="211" t="n">
        <x:f>Capacity!D75</x:f>
        <x:v>18</x:v>
      </x:c>
      <x:c r="H21" s="48"/>
      <x:c r="I21" s="18" t="str">
        <x:v>Горизонт</x:v>
      </x:c>
      <x:c r="J21" s="274" t="str">
        <x:v>Накопленная выручка</x:v>
      </x:c>
      <x:c r="K21" s="274" t="str">
        <x:v>EBITDA конечного года</x:v>
      </x:c>
      <x:c r="L21" s="274" t="str">
        <x:v>Стоимость компании</x:v>
      </x:c>
      <x:c r="M21" s="275" t="str">
        <x:v>Стоимость доли</x:v>
      </x:c>
      <x:c r="N21" s="276" t="str">
        <x:v>Накопленные дивиденды</x:v>
      </x:c>
      <x:c r="O21" s="276" t="str">
        <x:v>Итог инвестора</x:v>
      </x:c>
      <x:c r="P21" s="18" t="str">
        <x:v>MOIC</x:v>
      </x:c>
      <x:c r="Q21" s="18" t="str">
        <x:v>Результат</x:v>
      </x:c>
    </x:row>
    <x:row r="22" ht="46" customHeight="1">
      <x:c r="A22" s="26" t="str">
        <x:v>Руководители проектов в пике</x:v>
      </x:c>
      <x:c r="B22" s="40" t="str">
        <x:v>Максимальный штат для сопровождения ремонта</x:v>
      </x:c>
      <x:c r="C22" s="192" t="n">
        <x:f>Capacity!E71</x:f>
        <x:v>9</x:v>
      </x:c>
      <x:c r="D22" s="198" t="n">
        <x:f>Capacity!E72</x:f>
        <x:v>11</x:v>
      </x:c>
      <x:c r="E22" s="204" t="n">
        <x:f>Capacity!E73</x:f>
        <x:v>11</x:v>
      </x:c>
      <x:c r="F22" s="207" t="n">
        <x:f>Capacity!E74</x:f>
        <x:v>9</x:v>
      </x:c>
      <x:c r="G22" s="211" t="n">
        <x:f>Capacity!E75</x:f>
        <x:v>5</x:v>
      </x:c>
      <x:c r="H22" s="48"/>
      <x:c r="I22" s="22" t="str">
        <x:v>Через сколько лет оценивается результат</x:v>
      </x:c>
      <x:c r="J22" s="258" t="str">
        <x:v>Сумма выручки от года 1 до горизонта</x:v>
      </x:c>
      <x:c r="K22" s="258" t="str">
        <x:v>EBITDA последнего года горизонта</x:v>
      </x:c>
      <x:c r="L22" s="258" t="str">
        <x:v>EBITDA × 10</x:v>
      </x:c>
      <x:c r="M22" s="289" t="str">
        <x:v>Стоимость компании × 20%</x:v>
      </x:c>
      <x:c r="N22" s="290" t="str">
        <x:v>Дивиденды инвестору накопительным итогом</x:v>
      </x:c>
      <x:c r="O22" s="290" t="str">
        <x:v>Стоимость доли + дивиденды</x:v>
      </x:c>
      <x:c r="P22" s="22" t="str">
        <x:v>Во сколько раз выросли вложения</x:v>
      </x:c>
      <x:c r="Q22" s="22" t="str">
        <x:v>Окупились ли вложения к этому сроку</x:v>
      </x:c>
    </x:row>
    <x:row r="23">
      <x:c r="A23" s="26"/>
      <x:c r="B23" s="42"/>
      <x:c r="C23" s="26"/>
      <x:c r="D23" s="26"/>
      <x:c r="E23" s="48"/>
      <x:c r="F23" s="48"/>
      <x:c r="G23" s="48"/>
      <x:c r="H23" s="48"/>
      <x:c r="I23" s="57" t="str">
        <x:v>1 год</x:v>
      </x:c>
      <x:c r="J23" s="58" t="n">
        <x:f>SUM('P&amp;L and Cash'!$C$7:C$7)</x:f>
        <x:v>65000000</x:v>
      </x:c>
      <x:c r="K23" s="58" t="n">
        <x:f>'P&amp;L and Cash'!C35</x:f>
        <x:v>31651000.000000004</x:v>
      </x:c>
      <x:c r="L23" s="58" t="n">
        <x:f>K23*Assumptions!$C$42</x:f>
        <x:v>316510000.00000006</x:v>
      </x:c>
      <x:c r="M23" s="58" t="n">
        <x:f>L23*Assumptions!$C$41</x:f>
        <x:v>63302000.000000015</x:v>
      </x:c>
      <x:c r="N23" s="58" t="n">
        <x:f>-SUM('P&amp;L and Cash'!$C$41:C$41)*Assumptions!$C$41</x:f>
        <x:v>0</x:v>
      </x:c>
      <x:c r="O23" s="58" t="n">
        <x:f>M23+N23</x:f>
        <x:v>63302000.000000015</x:v>
      </x:c>
      <x:c r="P23" s="107" t="n">
        <x:f>O23/Assumptions!$C$34</x:f>
        <x:v>2.5320800000000006</x:v>
      </x:c>
      <x:c r="Q23" s="57" t="str">
        <x:f>IF(P23&gt;=1,"Вложения окупились","Ещё не окупились")</x:f>
        <x:v>Вложения окупились</x:v>
      </x:c>
    </x:row>
    <x:row r="24" ht="24" customHeight="1">
      <x:c r="A24" s="247" t="str">
        <x:v>Основные расчётные показатели</x:v>
      </x:c>
      <x:c r="B24" s="248"/>
      <x:c r="C24" s="247"/>
      <x:c r="D24" s="247"/>
      <x:c r="E24" s="37"/>
      <x:c r="F24" s="37"/>
      <x:c r="G24" s="37"/>
      <x:c r="H24" s="48"/>
      <x:c r="I24" s="57" t="str">
        <x:v>2 года</x:v>
      </x:c>
      <x:c r="J24" s="58" t="n">
        <x:f>SUM('P&amp;L and Cash'!$C$7:D$7)</x:f>
        <x:v>159999999.99997002</x:v>
      </x:c>
      <x:c r="K24" s="58" t="n">
        <x:f>'P&amp;L and Cash'!D35</x:f>
        <x:v>48384499.99997906</x:v>
      </x:c>
      <x:c r="L24" s="58" t="n">
        <x:f>K24*Assumptions!$C$42</x:f>
        <x:v>483844999.99979055</x:v>
      </x:c>
      <x:c r="M24" s="58" t="n">
        <x:f>L24*Assumptions!$C$41</x:f>
        <x:v>96768999.99995811</x:v>
      </x:c>
      <x:c r="N24" s="58" t="n">
        <x:f>-SUM('P&amp;L and Cash'!$C$41:D$41)*Assumptions!$C$41</x:f>
        <x:v>0</x:v>
      </x:c>
      <x:c r="O24" s="58" t="n">
        <x:f>M24+N24</x:f>
        <x:v>96768999.99995811</x:v>
      </x:c>
      <x:c r="P24" s="107" t="n">
        <x:f>O24/Assumptions!$C$34</x:f>
        <x:v>3.8707599999983247</x:v>
      </x:c>
      <x:c r="Q24" s="57" t="str">
        <x:f>IF(P24&gt;=1,"Вложения окупились","Ещё не окупились")</x:f>
        <x:v>Вложения окупились</x:v>
      </x:c>
    </x:row>
    <x:row r="25" ht="28" customHeight="1">
      <x:c r="A25" s="18" t="str">
        <x:v>Показатель</x:v>
      </x:c>
      <x:c r="B25" s="255" t="str">
        <x:v>Значение</x:v>
      </x:c>
      <x:c r="C25" s="18" t="str">
        <x:v>Расшифровка</x:v>
      </x:c>
      <x:c r="D25" s="18" t="str">
        <x:v>Как считается</x:v>
      </x:c>
      <x:c r="E25" s="48"/>
      <x:c r="F25" s="48"/>
      <x:c r="G25" s="48"/>
      <x:c r="H25" s="48"/>
      <x:c r="I25" s="57" t="str">
        <x:v>3 года</x:v>
      </x:c>
      <x:c r="J25" s="58" t="n">
        <x:f>SUM('P&amp;L and Cash'!$C$7:E$7)</x:f>
        <x:v>299999999.9998958</x:v>
      </x:c>
      <x:c r="K25" s="58" t="n">
        <x:f>'P&amp;L and Cash'!E35</x:f>
        <x:v>78973499.9999468</x:v>
      </x:c>
      <x:c r="L25" s="58" t="n">
        <x:f>K25*Assumptions!$C$42</x:f>
        <x:v>789734999.9994681</x:v>
      </x:c>
      <x:c r="M25" s="58" t="n">
        <x:f>L25*Assumptions!$C$41</x:f>
        <x:v>157946999.99989364</x:v>
      </x:c>
      <x:c r="N25" s="58" t="n">
        <x:f>-SUM('P&amp;L and Cash'!$C$41:E$41)*Assumptions!$C$41</x:f>
        <x:v>5458687.499996275</x:v>
      </x:c>
      <x:c r="O25" s="58" t="n">
        <x:f>M25+N25</x:f>
        <x:v>163405687.4998899</x:v>
      </x:c>
      <x:c r="P25" s="107" t="n">
        <x:f>O25/Assumptions!$C$34</x:f>
        <x:v>6.536227499995596</x:v>
      </x:c>
      <x:c r="Q25" s="57" t="str">
        <x:f>IF(P25&gt;=1,"Вложения окупились","Ещё не окупились")</x:f>
        <x:v>Вложения окупились</x:v>
      </x:c>
    </x:row>
    <x:row r="26" ht="46" customHeight="1">
      <x:c r="A26" s="22" t="str">
        <x:v>Название метрики</x:v>
      </x:c>
      <x:c r="B26" s="258" t="str">
        <x:v>Результат выбранного сценария</x:v>
      </x:c>
      <x:c r="C26" s="22" t="str">
        <x:v>Что означает показатель</x:v>
      </x:c>
      <x:c r="D26" s="22" t="str">
        <x:v>Какие данные лежат в основе</x:v>
      </x:c>
      <x:c r="E26" s="48"/>
      <x:c r="F26" s="48"/>
      <x:c r="G26" s="48"/>
      <x:c r="H26" s="48"/>
      <x:c r="I26" s="295" t="str">
        <x:v>5 лет</x:v>
      </x:c>
      <x:c r="J26" s="296" t="n">
        <x:f>SUM('P&amp;L and Cash'!$C$7:G$7)</x:f>
        <x:v>881999999.9998461</x:v>
      </x:c>
      <x:c r="K26" s="296" t="n">
        <x:f>'P&amp;L and Cash'!G35</x:f>
        <x:v>234656228.75000516</x:v>
      </x:c>
      <x:c r="L26" s="296" t="n">
        <x:f>K26*Assumptions!$C$42</x:f>
        <x:v>2346562287.5000515</x:v>
      </x:c>
      <x:c r="M26" s="296" t="n">
        <x:f>L26*Assumptions!$C$41</x:f>
        <x:v>469312457.5000103</x:v>
      </x:c>
      <x:c r="N26" s="296" t="n">
        <x:f>-SUM('P&amp;L and Cash'!$C$41:G$41)*Assumptions!$C$41</x:f>
        <x:v>31135771.493743733</x:v>
      </x:c>
      <x:c r="O26" s="296" t="n">
        <x:f>M26+N26</x:f>
        <x:v>500448228.993754</x:v>
      </x:c>
      <x:c r="P26" s="297" t="n">
        <x:f>O26/Assumptions!$C$34</x:f>
        <x:v>20.01792915975016</x:v>
      </x:c>
      <x:c r="Q26" s="57" t="str">
        <x:f>IF(P26&gt;=1,"Вложения окупились","Ещё не окупились")</x:f>
        <x:v>Вложения окупились</x:v>
      </x:c>
    </x:row>
    <x:row r="27">
      <x:c r="A27" s="26" t="str">
        <x:v>CAC — самостоятельный ремонт</x:v>
      </x:c>
      <x:c r="B27" s="42" t="n">
        <x:f>Cohorts!E29</x:f>
        <x:v>2420.620358235037</x:v>
      </x:c>
      <x:c r="C27" s="26" t="str">
        <x:v>Стоимость первого привлечения уникального клиента</x:v>
      </x:c>
      <x:c r="D27" s="26" t="str">
        <x:v>Взвешено по трём малым когортам</x:v>
      </x:c>
      <x:c r="E27" s="48"/>
      <x:c r="F27" s="48"/>
      <x:c r="G27" s="48"/>
      <x:c r="H27" s="48"/>
      <x:c r="I27" s="170"/>
      <x:c r="J27" s="171"/>
      <x:c r="K27" s="171"/>
      <x:c r="L27" s="171"/>
      <x:c r="M27" s="171"/>
      <x:c r="N27" s="171"/>
      <x:c r="O27" s="171"/>
      <x:c r="P27" s="172"/>
      <x:c r="Q27" s="48"/>
    </x:row>
    <x:row r="28">
      <x:c r="A28" s="26" t="str">
        <x:v>LTV — самостоятельный ремонт</x:v>
      </x:c>
      <x:c r="B28" s="42" t="n">
        <x:f>Cohorts!D29</x:f>
        <x:v>8263.433813892529</x:v>
      </x:c>
      <x:c r="C28" s="26" t="str">
        <x:v>Валовая прибыль клиента с подписками и допродажами</x:v>
      </x:c>
      <x:c r="D28" s="26" t="str">
        <x:v>Общий LTV трёх малых когорт</x:v>
      </x:c>
      <x:c r="E28" s="48"/>
      <x:c r="F28" s="48"/>
      <x:c r="G28" s="48"/>
      <x:c r="H28" s="48"/>
      <x:c r="I28" s="300" t="str">
        <x:v>Дивидендная политика: первые два года прибыль полностью реинвестируется. Начиная с третьего года модель направляет 35% положительного свободного денежного потока на дивиденды при сохранении резерва. Оценка выхода равна 10x EBITDA: повышенный мультипликатор учитывает стратегическую ценность аудитории собственников, которые находятся в ремонте, для банков, застройщиков и экосистемных компаний.</x:v>
      </x:c>
      <x:c r="J28" s="301"/>
      <x:c r="K28" s="301"/>
      <x:c r="L28" s="301"/>
      <x:c r="M28" s="301"/>
      <x:c r="N28" s="301"/>
      <x:c r="O28" s="301"/>
      <x:c r="P28" s="302"/>
      <x:c r="Q28" s="169"/>
    </x:row>
    <x:row r="29">
      <x:c r="A29" s="26" t="str">
        <x:v>LTV / CAC — самостоятельный ремонт</x:v>
      </x:c>
      <x:c r="B29" s="89" t="n">
        <x:f>Cohorts!F29</x:f>
        <x:v>3.413766965059197</x:v>
      </x:c>
      <x:c r="C29" s="26" t="str">
        <x:v>Экономика self-сервиса</x:v>
      </x:c>
      <x:c r="D29" s="26" t="str">
        <x:v>LTV / CAC</x:v>
      </x:c>
      <x:c r="E29" s="48"/>
      <x:c r="F29" s="48"/>
      <x:c r="G29" s="48"/>
      <x:c r="H29" s="48"/>
      <x:c r="I29" s="170"/>
      <x:c r="J29" s="171"/>
      <x:c r="K29" s="171"/>
      <x:c r="L29" s="171"/>
      <x:c r="M29" s="171"/>
      <x:c r="N29" s="171"/>
      <x:c r="O29" s="171"/>
      <x:c r="P29" s="171"/>
      <x:c r="Q29" s="172"/>
    </x:row>
    <x:row r="30">
      <x:c r="A30" s="26" t="str">
        <x:v>Окупаемость — самостоятельный ремонт</x:v>
      </x:c>
      <x:c r="B30" s="92" t="n">
        <x:f>Cohorts!G29</x:f>
        <x:v>1.0113305921623672</x:v>
      </x:c>
      <x:c r="C30" s="26" t="str">
        <x:v>Месяц возврата затрат на первое привлечение</x:v>
      </x:c>
      <x:c r="D30" s="26" t="str">
        <x:v>Накопленная валовая прибыль / CAC</x:v>
      </x:c>
      <x:c r="E30" s="48"/>
      <x:c r="F30" s="48"/>
      <x:c r="G30" s="48"/>
      <x:c r="H30" s="48"/>
      <x:c r="I30" s="173"/>
      <x:c r="J30" s="174"/>
      <x:c r="K30" s="174"/>
      <x:c r="L30" s="174"/>
      <x:c r="M30" s="174"/>
      <x:c r="N30" s="174"/>
      <x:c r="O30" s="174"/>
      <x:c r="P30" s="174"/>
      <x:c r="Q30" s="175"/>
    </x:row>
    <x:row r="31">
      <x:c r="A31" s="26" t="str">
        <x:v>CAC — сопровождение</x:v>
      </x:c>
      <x:c r="B31" s="42" t="n">
        <x:f>Cohorts!E30</x:f>
        <x:v>35000</x:v>
      </x:c>
      <x:c r="C31" s="26" t="str">
        <x:v>Стоимость привлечения клиента сопровождения</x:v>
      </x:c>
      <x:c r="D31" s="26" t="str">
        <x:v>Один CAC на объект</x:v>
      </x:c>
      <x:c r="E31" s="48"/>
      <x:c r="F31" s="48"/>
      <x:c r="G31" s="48"/>
      <x:c r="H31" s="48"/>
      <x:c r="I31" s="48"/>
      <x:c r="J31" s="48"/>
      <x:c r="K31" s="48"/>
      <x:c r="L31" s="48"/>
      <x:c r="M31" s="48"/>
      <x:c r="N31" s="48"/>
      <x:c r="O31" s="48"/>
      <x:c r="P31" s="48"/>
      <x:c r="Q31" s="48"/>
    </x:row>
    <x:row r="32">
      <x:c r="A32" s="26" t="str">
        <x:v>LTV — сопровождение</x:v>
      </x:c>
      <x:c r="B32" s="42" t="n">
        <x:f>Cohorts!D30</x:f>
        <x:v>628040.5405405406</x:v>
      </x:c>
      <x:c r="C32" s="26" t="str">
        <x:v>Валовая прибыль сопровождения вместе с дорожной картой</x:v>
      </x:c>
      <x:c r="D32" s="26" t="str">
        <x:v>Карта + сопровождение</x:v>
      </x:c>
      <x:c r="E32" s="48"/>
      <x:c r="F32" s="48"/>
      <x:c r="G32" s="48"/>
      <x:c r="H32" s="48"/>
      <x:c r="I32" s="222" t="str">
        <x:v>Четыре малые когорты и две большие — год 1</x:v>
      </x:c>
      <x:c r="J32" s="222"/>
      <x:c r="K32" s="222"/>
      <x:c r="L32" s="222"/>
      <x:c r="M32" s="222"/>
      <x:c r="N32" s="222"/>
      <x:c r="O32" s="222"/>
      <x:c r="P32" s="222"/>
      <x:c r="Q32" s="222"/>
    </x:row>
    <x:row r="33" ht="28" customHeight="1">
      <x:c r="A33" s="26" t="str">
        <x:v>LTV / CAC — сопровождение</x:v>
      </x:c>
      <x:c r="B33" s="89" t="n">
        <x:f>Cohorts!F30</x:f>
        <x:v>17.944015444015445</x:v>
      </x:c>
      <x:c r="C33" s="26" t="str">
        <x:v>Экономика крупного сервисного чека</x:v>
      </x:c>
      <x:c r="D33" s="26" t="str">
        <x:v>LTV / CAC</x:v>
      </x:c>
      <x:c r="E33" s="48"/>
      <x:c r="F33" s="48"/>
      <x:c r="G33" s="48"/>
      <x:c r="H33" s="48"/>
      <x:c r="I33" s="18" t="str">
        <x:v>Когорта</x:v>
      </x:c>
      <x:c r="J33" s="18" t="str">
        <x:v>Выручка на клиента</x:v>
      </x:c>
      <x:c r="K33" s="18" t="str">
        <x:v>Валовая маржа</x:v>
      </x:c>
      <x:c r="L33" s="18" t="str">
        <x:v>LTV</x:v>
      </x:c>
      <x:c r="M33" s="18" t="str">
        <x:v>CAC</x:v>
      </x:c>
      <x:c r="N33" s="18" t="str">
        <x:v>LTV / CAC</x:v>
      </x:c>
      <x:c r="O33" s="18" t="str">
        <x:v>Окупаемость</x:v>
      </x:c>
      <x:c r="P33" s="18" t="str">
        <x:v>Уникальные клиенты</x:v>
      </x:c>
      <x:c r="Q33" s="18" t="str">
        <x:v>Выручка</x:v>
      </x:c>
    </x:row>
    <x:row r="34">
      <x:c r="A34" s="26" t="str">
        <x:v>Окупаемость — сопровождение</x:v>
      </x:c>
      <x:c r="B34" s="92" t="n">
        <x:f>Cohorts!G30</x:f>
        <x:v>0.5572888649811726</x:v>
      </x:c>
      <x:c r="C34" s="26" t="str">
        <x:v>Месяц возврата CAC сопровождения</x:v>
      </x:c>
      <x:c r="D34" s="26" t="str">
        <x:v>Накопленная валовая прибыль / CAC</x:v>
      </x:c>
      <x:c r="E34" s="48"/>
      <x:c r="F34" s="48"/>
      <x:c r="G34" s="48"/>
      <x:c r="H34" s="48"/>
      <x:c r="I34" s="57" t="str">
        <x:f>Cohorts!A21</x:f>
        <x:v>Light + допуслуги</x:v>
      </x:c>
      <x:c r="J34" s="58" t="n">
        <x:f>Cohorts!B21</x:f>
        <x:v>8932.637822379918</x:v>
      </x:c>
      <x:c r="K34" s="60" t="n">
        <x:f>Cohorts!C21</x:f>
        <x:v>0.8166184971098267</x:v>
      </x:c>
      <x:c r="L34" s="58" t="n">
        <x:f>Cohorts!D21</x:f>
        <x:v>7294.557273738284</x:v>
      </x:c>
      <x:c r="M34" s="58" t="n">
        <x:f>Cohorts!E21</x:f>
        <x:v>2300</x:v>
      </x:c>
      <x:c r="N34" s="107" t="n">
        <x:f>Cohorts!F21</x:f>
        <x:v>3.1715466407557753</x:v>
      </x:c>
      <x:c r="O34" s="311" t="n">
        <x:f>Cohorts!G21</x:f>
        <x:v>1.891821461143705</x:v>
      </x:c>
      <x:c r="P34" s="59" t="n">
        <x:f>Cohorts!H21</x:f>
        <x:v>1642</x:v>
      </x:c>
      <x:c r="Q34" s="58" t="n">
        <x:f>Cohorts!I21</x:f>
        <x:v>14667391.304347826</x:v>
      </x:c>
    </x:row>
    <x:row r="35">
      <x:c r="A35" s="26" t="str">
        <x:v>Совокупный LTV / CAC</x:v>
      </x:c>
      <x:c r="B35" s="89" t="n">
        <x:f>Cohorts!F32</x:f>
        <x:v>6.166432604815823</x:v>
      </x:c>
      <x:c r="C35" s="26" t="str">
        <x:v>Экономика всех клиентских когорт</x:v>
      </x:c>
      <x:c r="D35" s="26" t="str">
        <x:v>Единый CAC на клиента и все допродажи в LTV</x:v>
      </x:c>
      <x:c r="E35" s="48"/>
      <x:c r="F35" s="48"/>
      <x:c r="G35" s="48"/>
      <x:c r="H35" s="48"/>
      <x:c r="I35" s="57" t="str">
        <x:f>Cohorts!A22</x:f>
        <x:v>С экспертом + допуслуги</x:v>
      </x:c>
      <x:c r="J35" s="58" t="n">
        <x:f>Cohorts!B22</x:f>
        <x:v>75281.10944527735</x:v>
      </x:c>
      <x:c r="K35" s="60" t="n">
        <x:f>Cohorts!C22</x:f>
        <x:v>0.5934466019417477</x:v>
      </x:c>
      <x:c r="L35" s="58" t="n">
        <x:f>Cohorts!D22</x:f>
        <x:v>44675.31859070465</x:v>
      </x:c>
      <x:c r="M35" s="58" t="n">
        <x:f>Cohorts!E22</x:f>
        <x:v>8800</x:v>
      </x:c>
      <x:c r="N35" s="107" t="n">
        <x:f>Cohorts!F22</x:f>
        <x:v>5.076740748943711</x:v>
      </x:c>
      <x:c r="O35" s="311" t="n">
        <x:f>Cohorts!G22</x:f>
        <x:v>0.5909303130407425</x:v>
      </x:c>
      <x:c r="P35" s="59" t="n">
        <x:f>Cohorts!H22</x:f>
        <x:v>116</x:v>
      </x:c>
      <x:c r="Q35" s="58" t="n">
        <x:f>Cohorts!I22</x:f>
        <x:v>8732608.695652174</x:v>
      </x:c>
    </x:row>
    <x:row r="36">
      <x:c r="A36" s="26" t="str">
        <x:v>Совокупная окупаемость</x:v>
      </x:c>
      <x:c r="B36" s="92" t="n">
        <x:f>Cohorts!G32</x:f>
        <x:v>0.8761068641142893</x:v>
      </x:c>
      <x:c r="C36" s="26" t="str">
        <x:v>Срок возврата затрат по портфелю клиентов</x:v>
      </x:c>
      <x:c r="D36" s="26" t="str">
        <x:v>Общие затраты привлечения / месячная валовая прибыль</x:v>
      </x:c>
      <x:c r="E36" s="48"/>
      <x:c r="F36" s="48"/>
      <x:c r="G36" s="48"/>
      <x:c r="H36" s="48"/>
      <x:c r="I36" s="57" t="str">
        <x:f>Cohorts!A23</x:f>
        <x:v>Покупки без тарифа</x:v>
      </x:c>
      <x:c r="J36" s="58" t="n">
        <x:f>Cohorts!B23</x:f>
        <x:v>4896.421845574388</x:v>
      </x:c>
      <x:c r="K36" s="60" t="n">
        <x:f>Cohorts!C23</x:f>
        <x:v>0.675</x:v>
      </x:c>
      <x:c r="L36" s="58" t="n">
        <x:f>Cohorts!D23</x:f>
        <x:v>3305.084745762712</x:v>
      </x:c>
      <x:c r="M36" s="58" t="n">
        <x:f>Cohorts!E23</x:f>
        <x:v>1400</x:v>
      </x:c>
      <x:c r="N36" s="107" t="n">
        <x:f>Cohorts!F23</x:f>
        <x:v>2.360774818401937</x:v>
      </x:c>
      <x:c r="O36" s="311" t="n">
        <x:f>Cohorts!G23</x:f>
        <x:v>1</x:v>
      </x:c>
      <x:c r="P36" s="59" t="n">
        <x:f>Cohorts!H23</x:f>
        <x:v>531</x:v>
      </x:c>
      <x:c r="Q36" s="58" t="n">
        <x:f>Cohorts!I23</x:f>
        <x:v>2600000</x:v>
      </x:c>
    </x:row>
    <x:row r="37">
      <x:c r="A37" s="26" t="str">
        <x:v>Доля самостоятельного ремонта, год 5</x:v>
      </x:c>
      <x:c r="B37" s="40" t="n">
        <x:f>Cohorts!B42</x:f>
        <x:v>0.8999999999999999</x:v>
      </x:c>
      <x:c r="C37" s="26" t="str">
        <x:v>Переход к IT-модели с меньшей долей ручного сопровождения</x:v>
      </x:c>
      <x:c r="D37" s="26" t="str">
        <x:v>Self-сервис / выручка</x:v>
      </x:c>
      <x:c r="E37" s="48"/>
      <x:c r="F37" s="48"/>
      <x:c r="G37" s="48"/>
      <x:c r="H37" s="48"/>
      <x:c r="I37" s="57" t="str">
        <x:f>Cohorts!A24</x:f>
        <x:v>Сопровождение + дорожная карта</x:v>
      </x:c>
      <x:c r="J37" s="58" t="n">
        <x:f>Cohorts!B24</x:f>
        <x:v>966216.2162162162</x:v>
      </x:c>
      <x:c r="K37" s="60" t="n">
        <x:f>Cohorts!C24</x:f>
        <x:v>0.65</x:v>
      </x:c>
      <x:c r="L37" s="58" t="n">
        <x:f>Cohorts!D24</x:f>
        <x:v>628040.5405405406</x:v>
      </x:c>
      <x:c r="M37" s="58" t="n">
        <x:f>Cohorts!E24</x:f>
        <x:v>35000</x:v>
      </x:c>
      <x:c r="N37" s="107" t="n">
        <x:f>Cohorts!F24</x:f>
        <x:v>17.944015444015445</x:v>
      </x:c>
      <x:c r="O37" s="311" t="n">
        <x:f>Cohorts!G24</x:f>
        <x:v>0.5572888649811726</x:v>
      </x:c>
      <x:c r="P37" s="59" t="n">
        <x:f>Cohorts!H24</x:f>
        <x:v>37</x:v>
      </x:c>
      <x:c r="Q37" s="58" t="n">
        <x:f>Cohorts!I24</x:f>
        <x:v>35750000</x:v>
      </x:c>
    </x:row>
    <x:row r="38">
      <x:c r="A38" s="26" t="str">
        <x:v>Средний месячный burn rate</x:v>
      </x:c>
      <x:c r="B38" s="42" t="n">
        <x:f>IF(COUNTIF('P&amp;L and Cash'!I39:T39,"&lt;0")=0,0,-SUMIF('P&amp;L and Cash'!I39:T39,"&lt;0",'P&amp;L and Cash'!I39:T39)/COUNTIF('P&amp;L and Cash'!I39:T39,"&lt;0"))</x:f>
        <x:v>0</x:v>
      </x:c>
      <x:c r="C38" s="26" t="str">
        <x:v>Средний отток денег в убыточные месяцы первого года</x:v>
      </x:c>
      <x:c r="D38" s="26" t="str">
        <x:v>Среднее отрицательных денежных потоков</x:v>
      </x:c>
      <x:c r="E38" s="48"/>
      <x:c r="F38" s="48"/>
      <x:c r="G38" s="48"/>
      <x:c r="H38" s="48"/>
      <x:c r="I38" s="99" t="str">
        <x:f>Cohorts!A29</x:f>
        <x:v>Самостоятельный ремонт</x:v>
      </x:c>
      <x:c r="J38" s="105" t="n">
        <x:f>Cohorts!B29</x:f>
        <x:v>11358.671909130624</x:v>
      </x:c>
      <x:c r="K38" s="103" t="n">
        <x:f>Cohorts!C29</x:f>
        <x:v>0.7274999999999999</x:v>
      </x:c>
      <x:c r="L38" s="105" t="n">
        <x:f>Cohorts!D29</x:f>
        <x:v>8263.433813892529</x:v>
      </x:c>
      <x:c r="M38" s="105" t="n">
        <x:f>Cohorts!E29</x:f>
        <x:v>2420.620358235037</x:v>
      </x:c>
      <x:c r="N38" s="108" t="n">
        <x:f>Cohorts!F29</x:f>
        <x:v>3.413766965059197</x:v>
      </x:c>
      <x:c r="O38" s="312" t="n">
        <x:f>Cohorts!G29</x:f>
        <x:v>1.0113305921623672</x:v>
      </x:c>
      <x:c r="P38" s="101" t="n">
        <x:f>Cohorts!H29</x:f>
        <x:v>2289</x:v>
      </x:c>
      <x:c r="Q38" s="105" t="n">
        <x:f>Cohorts!I29</x:f>
        <x:v>26000000</x:v>
      </x:c>
    </x:row>
    <x:row r="39">
      <x:c r="A39" s="26" t="str">
        <x:v>Runway</x:v>
      </x:c>
      <x:c r="B39" s="92" t="str">
        <x:f>IF(B38=0,"n.a.",Assumptions!$C$34/B38)</x:f>
        <x:v>n.a.</x:v>
      </x:c>
      <x:c r="C39" s="26" t="str">
        <x:v>На сколько месяцев хватает раунда при burn rate первого года</x:v>
      </x:c>
      <x:c r="D39" s="26" t="str">
        <x:v>Раунд / burn rate</x:v>
      </x:c>
      <x:c r="E39" s="48"/>
      <x:c r="F39" s="48"/>
      <x:c r="G39" s="48"/>
      <x:c r="H39" s="48"/>
      <x:c r="I39" s="99" t="str">
        <x:f>Cohorts!A30</x:f>
        <x:v>Сопровождение ремонта</x:v>
      </x:c>
      <x:c r="J39" s="105" t="n">
        <x:f>Cohorts!B30</x:f>
        <x:v>966216.2162162162</x:v>
      </x:c>
      <x:c r="K39" s="103" t="n">
        <x:f>Cohorts!C30</x:f>
        <x:v>0.65</x:v>
      </x:c>
      <x:c r="L39" s="105" t="n">
        <x:f>Cohorts!D30</x:f>
        <x:v>628040.5405405406</x:v>
      </x:c>
      <x:c r="M39" s="105" t="n">
        <x:f>Cohorts!E30</x:f>
        <x:v>35000</x:v>
      </x:c>
      <x:c r="N39" s="108" t="n">
        <x:f>Cohorts!F30</x:f>
        <x:v>17.944015444015445</x:v>
      </x:c>
      <x:c r="O39" s="312" t="n">
        <x:f>Cohorts!G30</x:f>
        <x:v>0.5572888649811726</x:v>
      </x:c>
      <x:c r="P39" s="101" t="n">
        <x:f>Cohorts!H30</x:f>
        <x:v>37</x:v>
      </x:c>
      <x:c r="Q39" s="105" t="n">
        <x:f>Cohorts!I30</x:f>
        <x:v>35750000</x:v>
      </x:c>
    </x:row>
    <x:row r="40">
      <x:c r="A40" s="26" t="str">
        <x:v>Операционная безубыточность</x:v>
      </x:c>
      <x:c r="B40" s="133" t="n">
        <x:f>INDEX('P&amp;L and Cash'!I$4:BP$4,1,MATCH(1,'P&amp;L and Cash'!I$43:BP$43,0))</x:f>
        <x:v>46296</x:v>
      </x:c>
      <x:c r="C40" s="26" t="str">
        <x:v>Первый месяц с положительной EBITDA</x:v>
      </x:c>
      <x:c r="D40" s="26" t="str">
        <x:v>Первый месяц с индикатором 1</x:v>
      </x:c>
      <x:c r="E40" s="48"/>
      <x:c r="F40" s="48"/>
      <x:c r="G40" s="48"/>
      <x:c r="H40" s="48"/>
      <x:c r="I40" s="100" t="str">
        <x:f>Cohorts!A32</x:f>
        <x:v>Итого / среднее</x:v>
      </x:c>
      <x:c r="J40" s="106" t="n">
        <x:f>Cohorts!B32</x:f>
        <x:v>26547.721410146172</x:v>
      </x:c>
      <x:c r="K40" s="104" t="n">
        <x:f>Cohorts!C32</x:f>
        <x:v>0.6826315789473685</x:v>
      </x:c>
      <x:c r="L40" s="106" t="n">
        <x:f>Cohorts!D32</x:f>
        <x:v>18122.31298366294</x:v>
      </x:c>
      <x:c r="M40" s="106" t="n">
        <x:f>Cohorts!E32</x:f>
        <x:v>2938.8650042992263</x:v>
      </x:c>
      <x:c r="N40" s="109" t="n">
        <x:f>Cohorts!F32</x:f>
        <x:v>6.166432604815823</x:v>
      </x:c>
      <x:c r="O40" s="313" t="n">
        <x:f>Cohorts!G32</x:f>
        <x:v>0.8761068641142893</x:v>
      </x:c>
      <x:c r="P40" s="102" t="n">
        <x:f>Cohorts!H32</x:f>
        <x:v>2326</x:v>
      </x:c>
      <x:c r="Q40" s="106" t="n">
        <x:f>Cohorts!I32</x:f>
        <x:v>61750000</x:v>
      </x:c>
    </x:row>
    <x:row r="41">
      <x:c r="A41" s="26" t="str">
        <x:v>Минимальный остаток денег</x:v>
      </x:c>
      <x:c r="B41" s="42" t="n">
        <x:f>MIN('P&amp;L and Cash'!I42:BP42)</x:f>
        <x:v>27474500</x:v>
      </x:c>
      <x:c r="C41" s="26" t="str">
        <x:v>Самая низкая точка денежного остатка за пять лет</x:v>
      </x:c>
      <x:c r="D41" s="26" t="str">
        <x:v>Минимум месячных остатков</x:v>
      </x:c>
      <x:c r="E41" s="48"/>
      <x:c r="F41" s="48"/>
      <x:c r="G41" s="48"/>
      <x:c r="H41" s="48"/>
      <x:c r="I41" s="48"/>
      <x:c r="J41" s="48"/>
      <x:c r="K41" s="48"/>
      <x:c r="L41" s="48"/>
      <x:c r="M41" s="48"/>
      <x:c r="N41" s="48"/>
      <x:c r="O41" s="48"/>
      <x:c r="P41" s="48"/>
      <x:c r="Q41" s="48"/>
    </x:row>
    <x:row r="42">
      <x:c r="A42" s="26" t="str">
        <x:v>Дополнительное финансирование</x:v>
      </x:c>
      <x:c r="B42" s="42" t="n">
        <x:f>MAX(0,-B41)</x:f>
        <x:v>0</x:v>
      </x:c>
      <x:c r="C42" s="26" t="str">
        <x:v>Дефицит денег сверх раунда 25 млн ₽</x:v>
      </x:c>
      <x:c r="D42" s="26" t="str">
        <x:v>Модуль отрицательного минимального остатка</x:v>
      </x:c>
      <x:c r="E42" s="48"/>
      <x:c r="F42" s="48"/>
      <x:c r="G42" s="48"/>
      <x:c r="H42" s="48"/>
      <x:c r="I42" s="48"/>
      <x:c r="J42" s="48"/>
      <x:c r="K42" s="48"/>
      <x:c r="L42" s="48"/>
      <x:c r="M42" s="48"/>
      <x:c r="N42" s="48"/>
      <x:c r="O42" s="48"/>
      <x:c r="P42" s="48"/>
      <x:c r="Q42" s="48"/>
    </x:row>
    <x:row r="44" ht="24" customHeight="1">
      <x:c r="A44" s="317" t="str">
        <x:v>Доходность инвестора: NPV и IRR</x:v>
      </x:c>
      <x:c r="B44" s="317"/>
      <x:c r="C44" s="317"/>
      <x:c r="D44" s="317"/>
      <x:c r="E44" s="317"/>
      <x:c r="F44" s="317"/>
      <x:c r="G44" s="317"/>
      <x:c r="H44" s="317"/>
      <x:c r="I44" s="317"/>
      <x:c r="J44" s="317"/>
      <x:c r="K44" s="317"/>
      <x:c r="L44" s="317"/>
      <x:c r="M44" s="317"/>
      <x:c r="N44" s="317"/>
      <x:c r="O44" s="317"/>
      <x:c r="P44" s="317"/>
      <x:c r="Q44" s="317"/>
    </x:row>
    <x:row r="45">
      <x:c r="A45" s="322" t="str">
        <x:v>Показатель</x:v>
      </x:c>
      <x:c r="B45" s="322" t="str">
        <x:v>Значение</x:v>
      </x:c>
      <x:c r="C45" s="322" t="str">
        <x:v>Единица</x:v>
      </x:c>
      <x:c r="D45" s="322" t="str">
        <x:v>Что показывает</x:v>
      </x:c>
      <x:c r="F45" s="322" t="str">
        <x:v>Период</x:v>
      </x:c>
      <x:c r="G45" s="322" t="str">
        <x:v>0</x:v>
      </x:c>
      <x:c r="H45" s="322" t="str">
        <x:v>Год 1</x:v>
      </x:c>
      <x:c r="I45" s="322" t="str">
        <x:v>Год 2</x:v>
      </x:c>
      <x:c r="J45" s="322" t="str">
        <x:v>Год 3</x:v>
      </x:c>
      <x:c r="K45" s="322" t="str">
        <x:v>Год 4</x:v>
      </x:c>
      <x:c r="L45" s="322" t="str">
        <x:v>Год 5</x:v>
      </x:c>
      <x:c r="N45" s="322" t="str">
        <x:v>Методика</x:v>
      </x:c>
      <x:c r="O45" s="322"/>
      <x:c r="P45" s="322"/>
      <x:c r="Q45" s="322"/>
    </x:row>
    <x:row r="46" ht="42" customHeight="1">
      <x:c r="A46" s="327" t="str">
        <x:v>NPV</x:v>
      </x:c>
      <x:c r="B46" s="328" t="n">
        <x:f>NPV(Assumptions!$C$94,H47:L47)+G47</x:f>
        <x:v>111553352.96686187</x:v>
      </x:c>
      <x:c r="C46" s="26" t="str">
        <x:v>₽</x:v>
      </x:c>
      <x:c r="D46" s="26" t="str">
        <x:v>Приведённая стоимость результата инвестора за вычетом вложенных 25 млн ₽</x:v>
      </x:c>
      <x:c r="F46" s="26" t="str">
        <x:v>Денежный поток</x:v>
      </x:c>
      <x:c r="G46" s="26"/>
      <x:c r="H46" s="26"/>
      <x:c r="I46" s="26"/>
      <x:c r="J46" s="26"/>
      <x:c r="K46" s="26"/>
      <x:c r="L46" s="26"/>
      <x:c r="N46" s="26" t="str">
        <x:v>NPV дисконтирует выплаты за годы 1–5 по ставке из Assumptions. IRR считается по тому же годовому потоку. В пятом году к дивидендам добавляется стоимость доли инвестора: EBITDA года 5 × мультипликатор выхода × доля инвестора.</x:v>
      </x:c>
      <x:c r="O46" s="26"/>
      <x:c r="P46" s="26"/>
      <x:c r="Q46" s="26"/>
    </x:row>
    <x:row r="47" ht="42" customHeight="1">
      <x:c r="A47" s="327" t="str">
        <x:v>IRR</x:v>
      </x:c>
      <x:c r="B47" s="40" t="n">
        <x:f>IRR(G47:L47)</x:f>
        <x:v>0.835733384423692</x:v>
      </x:c>
      <x:c r="C47" s="26" t="str">
        <x:v>% годовых</x:v>
      </x:c>
      <x:c r="D47" s="26" t="str">
        <x:v>Ставка, при которой NPV денежного потока инвестора равен нулю</x:v>
      </x:c>
      <x:c r="F47" s="26" t="str">
        <x:v>Поток инвестора</x:v>
      </x:c>
      <x:c r="G47" s="328" t="n">
        <x:f>-Assumptions!$C$34</x:f>
        <x:v>-25000000</x:v>
      </x:c>
      <x:c r="H47" s="328" t="n">
        <x:f>-'P&amp;L and Cash'!$C$41*Assumptions!$C$41</x:f>
        <x:v>0</x:v>
      </x:c>
      <x:c r="I47" s="328" t="n">
        <x:f>-'P&amp;L and Cash'!$D$41*Assumptions!$C$41</x:f>
        <x:v>0</x:v>
      </x:c>
      <x:c r="J47" s="328" t="n">
        <x:f>-'P&amp;L and Cash'!$E$41*Assumptions!$C$41</x:f>
        <x:v>5458687.499996275</x:v>
      </x:c>
      <x:c r="K47" s="328" t="n">
        <x:f>-'P&amp;L and Cash'!$F$41*Assumptions!$C$41</x:f>
        <x:v>9327724.874997094</x:v>
      </x:c>
      <x:c r="L47" s="328" t="n">
        <x:f>-'P&amp;L and Cash'!$G$41*Assumptions!$C$41+'P&amp;L and Cash'!$G$35*Assumptions!$C$42*Assumptions!$C$41</x:f>
        <x:v>485661816.61876065</x:v>
      </x:c>
      <x:c r="N47" s="26"/>
      <x:c r="O47" s="26"/>
      <x:c r="P47" s="26"/>
      <x:c r="Q47" s="26"/>
    </x:row>
    <x:row r="48" ht="42" customHeight="1">
      <x:c r="A48" s="327" t="str">
        <x:v>Ставка дисконтирования</x:v>
      </x:c>
      <x:c r="B48" s="40" t="n">
        <x:f>Assumptions!$C$94</x:f>
        <x:v>0.3</x:v>
      </x:c>
      <x:c r="C48" s="26" t="str">
        <x:v>% годовых</x:v>
      </x:c>
      <x:c r="D48" s="26" t="str">
        <x:v>Редактируется на листе Assumptions и используется только для NPV</x:v>
      </x:c>
      <x:c r="F48" s="26" t="str">
        <x:v>Состав</x:v>
      </x:c>
      <x:c r="G48" s="26" t="str">
        <x:v>Инвестиция</x:v>
      </x:c>
      <x:c r="H48" s="26" t="str">
        <x:v>Дивиденды</x:v>
      </x:c>
      <x:c r="I48" s="26" t="str">
        <x:v>Дивиденды</x:v>
      </x:c>
      <x:c r="J48" s="26" t="str">
        <x:v>Дивиденды</x:v>
      </x:c>
      <x:c r="K48" s="26" t="str">
        <x:v>Дивиденды</x:v>
      </x:c>
      <x:c r="L48" s="26" t="str">
        <x:v>Дивиденды + стоимость доли</x:v>
      </x:c>
      <x:c r="N48" s="26" t="str">
        <x:v>Ставка 30% — рабочая гипотеза к обсуждению; условия сделки должны заменить её после согласования term sheet.</x:v>
      </x:c>
      <x:c r="O48" s="26"/>
      <x:c r="P48" s="26"/>
      <x:c r="Q48" s="26"/>
    </x:row>
  </x:sheetData>
  <x:mergeCells>
    <x:mergeCell ref="A18:G18"/>
    <x:mergeCell ref="A1:Q1"/>
    <x:mergeCell ref="A2:Q2"/>
    <x:mergeCell ref="C3:G3"/>
    <x:mergeCell ref="I11:P11"/>
    <x:mergeCell ref="I15:P16"/>
    <x:mergeCell ref="A24:G24"/>
    <x:mergeCell ref="I20:Q20"/>
    <x:mergeCell ref="I28:Q30"/>
    <x:mergeCell ref="I32:Q32"/>
    <x:mergeCell ref="A44:Q44"/>
    <x:mergeCell ref="N45:Q45"/>
    <x:mergeCell ref="N46:Q47"/>
    <x:mergeCell ref="N48:Q4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0" hidden="0" customWidth="1"/>
    <x:col min="2" max="2" width="20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58" hidden="0" customWidth="1"/>
  </x:cols>
  <x:sheetData>
    <x:row r="1" ht="32" customHeight="1">
      <x:c r="A1" s="45" t="str">
        <x:v>Buro128 — допущения и переключатель сценария</x:v>
      </x:c>
      <x:c r="B1" s="45"/>
      <x:c r="C1" s="45"/>
      <x:c r="D1" s="45"/>
      <x:c r="E1" s="45"/>
      <x:c r="F1" s="45"/>
      <x:c r="G1" s="45"/>
      <x:c r="H1" s="45"/>
    </x:row>
    <x:row r="2" ht="34" customHeight="1">
      <x:c r="A2" s="7" t="str">
        <x:v>Здесь находятся все параметры, которые можно менять. Синий столбец «Активно» автоматически берёт значение выбранного сценария. Остальные листы считают результаты только из этих активных значений.</x:v>
      </x:c>
      <x:c r="B2" s="7"/>
      <x:c r="C2" s="7"/>
      <x:c r="D2" s="7"/>
      <x:c r="E2" s="7"/>
      <x:c r="F2" s="7"/>
      <x:c r="G2" s="7"/>
      <x:c r="H2" s="7"/>
    </x:row>
    <x:row r="3">
      <x:c r="A3" s="46" t="str">
        <x:v>Активный сценарий</x:v>
      </x:c>
      <x:c r="B3" s="47" t="n">
        <x:v>2</x:v>
      </x:c>
      <x:c r="C3" s="46" t="str">
        <x:v>1 = консервативный, 2 = базовый, 3 = рост</x:v>
      </x:c>
      <x:c r="D3" s="48"/>
      <x:c r="E3" s="48"/>
      <x:c r="F3" s="48"/>
      <x:c r="G3" s="48"/>
      <x:c r="H3" s="48"/>
    </x:row>
    <x:row r="4">
      <x:c r="A4" s="48"/>
      <x:c r="B4" s="48"/>
      <x:c r="C4" s="48"/>
      <x:c r="D4" s="48"/>
      <x:c r="E4" s="48"/>
      <x:c r="F4" s="48"/>
      <x:c r="G4" s="48"/>
      <x:c r="H4" s="48"/>
    </x:row>
    <x:row r="5" ht="28" customHeight="1">
      <x:c r="A5" s="18" t="str">
        <x:v>Параметр</x:v>
      </x:c>
      <x:c r="B5" s="18" t="str">
        <x:v>Единица</x:v>
      </x:c>
      <x:c r="C5" s="18" t="str">
        <x:v>Активно</x:v>
      </x:c>
      <x:c r="D5" s="18" t="str">
        <x:v>Консервативный</x:v>
      </x:c>
      <x:c r="E5" s="18" t="str">
        <x:v>Базовый</x:v>
      </x:c>
      <x:c r="F5" s="18" t="str">
        <x:v>Рост</x:v>
      </x:c>
      <x:c r="G5" s="18" t="str">
        <x:v>Статус</x:v>
      </x:c>
      <x:c r="H5" s="18" t="str">
        <x:v>Почему это значение используется</x:v>
      </x:c>
    </x:row>
    <x:row r="6" ht="46" customHeight="1">
      <x:c r="A6" s="22" t="str">
        <x:v>Что именно влияет на расчёт</x:v>
      </x:c>
      <x:c r="B6" s="22" t="str">
        <x:v>В каких единицах задано</x:v>
      </x:c>
      <x:c r="C6" s="22" t="str">
        <x:v>Значение выбранного сценария; менять напрямую не нужно</x:v>
      </x:c>
      <x:c r="D6" s="22" t="str">
        <x:v>Осторожный вариант</x:v>
      </x:c>
      <x:c r="E6" s="22" t="str">
        <x:v>Основной рабочий вариант</x:v>
      </x:c>
      <x:c r="F6" s="22" t="str">
        <x:v>Вариант быстрого роста</x:v>
      </x:c>
      <x:c r="G6" s="22" t="str">
        <x:v>Факт это или гипотеза</x:v>
      </x:c>
      <x:c r="H6" s="22" t="str">
        <x:v>Источник решения или что нужно проверить на реальных данных</x:v>
      </x:c>
    </x:row>
    <x:row r="7">
      <x:c r="A7" s="26" t="str">
        <x:v>Цена подписки Light</x:v>
      </x:c>
      <x:c r="B7" s="26" t="str">
        <x:v>₽/мес</x:v>
      </x:c>
      <x:c r="C7" s="29" t="n">
        <x:f>CHOOSE($B$3,D7,E7,F7)</x:f>
        <x:v>990</x:v>
      </x:c>
      <x:c r="D7" s="30" t="n">
        <x:v>990</x:v>
      </x:c>
      <x:c r="E7" s="30" t="n">
        <x:v>990</x:v>
      </x:c>
      <x:c r="F7" s="30" t="n">
        <x:v>990</x:v>
      </x:c>
      <x:c r="G7" s="26" t="str">
        <x:v>Утверждено</x:v>
      </x:c>
      <x:c r="H7" s="26" t="str">
        <x:v>Тариф 990 ₽ в месяц</x:v>
      </x:c>
    </x:row>
    <x:row r="8">
      <x:c r="A8" s="26" t="str">
        <x:v>Цена подписки с экспертом</x:v>
      </x:c>
      <x:c r="B8" s="26" t="str">
        <x:v>₽/мес</x:v>
      </x:c>
      <x:c r="C8" s="29" t="n">
        <x:f>CHOOSE($B$3,D8,E8,F8)</x:f>
        <x:v>14990</x:v>
      </x:c>
      <x:c r="D8" s="30" t="n">
        <x:v>14990</x:v>
      </x:c>
      <x:c r="E8" s="30" t="n">
        <x:v>14990</x:v>
      </x:c>
      <x:c r="F8" s="30" t="n">
        <x:v>14990</x:v>
      </x:c>
      <x:c r="G8" s="26" t="str">
        <x:v>Утверждено</x:v>
      </x:c>
      <x:c r="H8" s="26" t="str">
        <x:v>Тариф 14 990 ₽ в месяц</x:v>
      </x:c>
    </x:row>
    <x:row r="9">
      <x:c r="A9" s="26" t="str">
        <x:v>Дополнительная услуга</x:v>
      </x:c>
      <x:c r="B9" s="26" t="str">
        <x:v>₽</x:v>
      </x:c>
      <x:c r="C9" s="29" t="n">
        <x:f>CHOOSE($B$3,D9,E9,F9)</x:f>
        <x:v>4900</x:v>
      </x:c>
      <x:c r="D9" s="30" t="n">
        <x:v>4900</x:v>
      </x:c>
      <x:c r="E9" s="30" t="n">
        <x:v>4900</x:v>
      </x:c>
      <x:c r="F9" s="30" t="n">
        <x:v>4900</x:v>
      </x:c>
      <x:c r="G9" s="26" t="str">
        <x:v>Утверждено</x:v>
      </x:c>
      <x:c r="H9" s="26" t="str">
        <x:v>Консультация, выезд, приёмка или пакет документов</x:v>
      </x:c>
    </x:row>
    <x:row r="10">
      <x:c r="A10" s="26" t="str">
        <x:v>Типовой маршрут ремонта</x:v>
      </x:c>
      <x:c r="B10" s="26" t="str">
        <x:v>₽</x:v>
      </x:c>
      <x:c r="C10" s="29" t="n">
        <x:f>CHOOSE($B$3,D10,E10,F10)</x:f>
        <x:v>3900</x:v>
      </x:c>
      <x:c r="D10" s="30" t="n">
        <x:v>3900</x:v>
      </x:c>
      <x:c r="E10" s="30" t="n">
        <x:v>3900</x:v>
      </x:c>
      <x:c r="F10" s="30" t="n">
        <x:v>3900</x:v>
      </x:c>
      <x:c r="G10" s="26" t="str">
        <x:v>Утверждено</x:v>
      </x:c>
      <x:c r="H10" s="26" t="str">
        <x:v>Разовая покупка</x:v>
      </x:c>
    </x:row>
    <x:row r="11">
      <x:c r="A11" s="26" t="str">
        <x:v>Индивидуальная карта ремонта</x:v>
      </x:c>
      <x:c r="B11" s="26" t="str">
        <x:v>₽</x:v>
      </x:c>
      <x:c r="C11" s="29" t="n">
        <x:f>CHOOSE($B$3,D11,E11,F11)</x:f>
        <x:v>39900</x:v>
      </x:c>
      <x:c r="D11" s="30" t="n">
        <x:v>39900</x:v>
      </x:c>
      <x:c r="E11" s="30" t="n">
        <x:v>39900</x:v>
      </x:c>
      <x:c r="F11" s="30" t="n">
        <x:v>39900</x:v>
      </x:c>
      <x:c r="G11" s="26" t="str">
        <x:v>Утверждено</x:v>
      </x:c>
      <x:c r="H11" s="26" t="str">
        <x:v>Разовая покупка</x:v>
      </x:c>
    </x:row>
    <x:row r="12">
      <x:c r="A12" s="26" t="str">
        <x:v>Сопровождение ремонта</x:v>
      </x:c>
      <x:c r="B12" s="26" t="str">
        <x:v>₽/м²</x:v>
      </x:c>
      <x:c r="C12" s="29" t="n">
        <x:f>CHOOSE($B$3,D12,E12,F12)</x:f>
        <x:v>10000</x:v>
      </x:c>
      <x:c r="D12" s="30" t="n">
        <x:v>10000</x:v>
      </x:c>
      <x:c r="E12" s="30" t="n">
        <x:v>10000</x:v>
      </x:c>
      <x:c r="F12" s="30" t="n">
        <x:v>10000</x:v>
      </x:c>
      <x:c r="G12" s="26" t="str">
        <x:v>Утверждено</x:v>
      </x:c>
      <x:c r="H12" s="26" t="str">
        <x:v>Фиксированная цена за площадь объекта</x:v>
      </x:c>
    </x:row>
    <x:row r="13">
      <x:c r="A13" s="26" t="str">
        <x:v>Средняя площадь объекта</x:v>
      </x:c>
      <x:c r="B13" s="26" t="str">
        <x:v>м²</x:v>
      </x:c>
      <x:c r="C13" s="29" t="n">
        <x:f>CHOOSE($B$3,D13,E13,F13)</x:f>
        <x:v>80</x:v>
      </x:c>
      <x:c r="D13" s="30" t="n">
        <x:v>70</x:v>
      </x:c>
      <x:c r="E13" s="30" t="n">
        <x:v>80</x:v>
      </x:c>
      <x:c r="F13" s="30" t="n">
        <x:v>90</x:v>
      </x:c>
      <x:c r="G13" s="26" t="str">
        <x:v>Гипотеза</x:v>
      </x:c>
      <x:c r="H13" s="26" t="str">
        <x:v>Проверить по первым 30 оплаченным объектам</x:v>
      </x:c>
    </x:row>
    <x:row r="14">
      <x:c r="A14" s="26" t="str">
        <x:v>Средний срок подписки Light</x:v>
      </x:c>
      <x:c r="B14" s="26" t="str">
        <x:v>мес</x:v>
      </x:c>
      <x:c r="C14" s="29" t="n">
        <x:f>CHOOSE($B$3,D14,E14,F14)</x:f>
        <x:v>6</x:v>
      </x:c>
      <x:c r="D14" s="30" t="n">
        <x:v>5</x:v>
      </x:c>
      <x:c r="E14" s="30" t="n">
        <x:v>6</x:v>
      </x:c>
      <x:c r="F14" s="30" t="n">
        <x:v>7</x:v>
      </x:c>
      <x:c r="G14" s="26" t="str">
        <x:v>Гипотеза</x:v>
      </x:c>
      <x:c r="H14" s="26" t="str">
        <x:v>Базовый срок — 6 месяцев; проверить удержание по когортам</x:v>
      </x:c>
    </x:row>
    <x:row r="15">
      <x:c r="A15" s="26" t="str">
        <x:v>Средний срок сопровождения ремонта</x:v>
      </x:c>
      <x:c r="B15" s="26" t="str">
        <x:v>мес</x:v>
      </x:c>
      <x:c r="C15" s="29" t="n">
        <x:f>CHOOSE($B$3,D15,E15,F15)</x:f>
        <x:v>10</x:v>
      </x:c>
      <x:c r="D15" s="30" t="n">
        <x:v>10</x:v>
      </x:c>
      <x:c r="E15" s="30" t="n">
        <x:v>10</x:v>
      </x:c>
      <x:c r="F15" s="30" t="n">
        <x:v>10</x:v>
      </x:c>
      <x:c r="G15" s="26" t="str">
        <x:v>Гипотеза</x:v>
      </x:c>
      <x:c r="H15" s="26" t="str">
        <x:v>Нужен для расчёта одновременно активных объектов</x:v>
      </x:c>
    </x:row>
    <x:row r="16">
      <x:c r="A16" s="26" t="str">
        <x:v>Пополнение AI-баланса за цикл</x:v>
      </x:c>
      <x:c r="B16" s="26" t="str">
        <x:v>₽/клиента</x:v>
      </x:c>
      <x:c r="C16" s="29" t="n">
        <x:f>CHOOSE($B$3,D16,E16,F16)</x:f>
        <x:v>5000</x:v>
      </x:c>
      <x:c r="D16" s="30" t="n">
        <x:v>3000</x:v>
      </x:c>
      <x:c r="E16" s="30" t="n">
        <x:v>5000</x:v>
      </x:c>
      <x:c r="F16" s="30" t="n">
        <x:v>7000</x:v>
      </x:c>
      <x:c r="G16" s="26" t="str">
        <x:v>Гипотеза</x:v>
      </x:c>
      <x:c r="H16" s="26" t="str">
        <x:v>Базовый ориентир 5 000 ₽ за трёхмесячный цикл</x:v>
      </x:c>
    </x:row>
    <x:row r="17">
      <x:c r="A17" s="26" t="str">
        <x:v>Доля подписчиков с AI-пополнением</x:v>
      </x:c>
      <x:c r="B17" s="26" t="str">
        <x:v>%</x:v>
      </x:c>
      <x:c r="C17" s="31" t="n">
        <x:f>CHOOSE($B$3,D17,E17,F17)</x:f>
        <x:v>0.8</x:v>
      </x:c>
      <x:c r="D17" s="32" t="n">
        <x:v>0.5</x:v>
      </x:c>
      <x:c r="E17" s="32" t="n">
        <x:v>0.8</x:v>
      </x:c>
      <x:c r="F17" s="32" t="n">
        <x:v>1</x:v>
      </x:c>
      <x:c r="G17" s="26" t="str">
        <x:v>Гипотеза</x:v>
      </x:c>
      <x:c r="H17" s="26" t="str">
        <x:v>Проверить после запуска платежей</x:v>
      </x:c>
    </x:row>
    <x:row r="18">
      <x:c r="A18" s="26" t="str">
        <x:v>Плановая выручка на одного потенциального клиента</x:v>
      </x:c>
      <x:c r="B18" s="26" t="str">
        <x:v>₽</x:v>
      </x:c>
      <x:c r="C18" s="29" t="n">
        <x:f>CHOOSE($B$3,D18,E18,F18)</x:f>
        <x:v>50000</x:v>
      </x:c>
      <x:c r="D18" s="30" t="n">
        <x:v>40000</x:v>
      </x:c>
      <x:c r="E18" s="30" t="n">
        <x:v>50000</x:v>
      </x:c>
      <x:c r="F18" s="30" t="n">
        <x:v>60000</x:v>
      </x:c>
      <x:c r="G18" s="26" t="str">
        <x:v>Гипотеза</x:v>
      </x:c>
      <x:c r="H18" s="26" t="str">
        <x:v>Выручка, делённая на число людей с подтверждённым интересом</x:v>
      </x:c>
    </x:row>
    <x:row r="19">
      <x:c r="A19" s="26" t="str">
        <x:v>Доля потенциальных клиентов, которые оплачивают</x:v>
      </x:c>
      <x:c r="B19" s="26" t="str">
        <x:v>%</x:v>
      </x:c>
      <x:c r="C19" s="31" t="n">
        <x:f>CHOOSE($B$3,D19,E19,F19)</x:f>
        <x:v>0.2</x:v>
      </x:c>
      <x:c r="D19" s="32" t="n">
        <x:v>0.15</x:v>
      </x:c>
      <x:c r="E19" s="32" t="n">
        <x:v>0.2</x:v>
      </x:c>
      <x:c r="F19" s="32" t="n">
        <x:v>0.25</x:v>
      </x:c>
      <x:c r="G19" s="26" t="str">
        <x:v>Гипотеза</x:v>
      </x:c>
      <x:c r="H19" s="26" t="str">
        <x:v>Пока нет статистически значимой выборки</x:v>
      </x:c>
    </x:row>
    <x:row r="20">
      <x:c r="A20" s="26" t="str">
        <x:v>Стоимость привлечения потенциального клиента</x:v>
      </x:c>
      <x:c r="B20" s="26" t="str">
        <x:v>₽</x:v>
      </x:c>
      <x:c r="C20" s="29" t="n">
        <x:f>CHOOSE($B$3,D20,E20,F20)</x:f>
        <x:v>9000</x:v>
      </x:c>
      <x:c r="D20" s="30" t="n">
        <x:v>12000</x:v>
      </x:c>
      <x:c r="E20" s="30" t="n">
        <x:v>9000</x:v>
      </x:c>
      <x:c r="F20" s="30" t="n">
        <x:v>7000</x:v>
      </x:c>
      <x:c r="G20" s="26" t="str">
        <x:v>Гипотеза</x:v>
      </x:c>
      <x:c r="H20" s="26" t="str">
        <x:v>Проверить отдельно по платным каналам</x:v>
      </x:c>
    </x:row>
    <x:row r="21">
      <x:c r="A21" s="26" t="str">
        <x:v>Себестоимость цифровых продуктов</x:v>
      </x:c>
      <x:c r="B21" s="26" t="str">
        <x:v>% выручки</x:v>
      </x:c>
      <x:c r="C21" s="31" t="n">
        <x:f>CHOOSE($B$3,D21,E21,F21)</x:f>
        <x:v>0.15</x:v>
      </x:c>
      <x:c r="D21" s="32" t="n">
        <x:v>0.18</x:v>
      </x:c>
      <x:c r="E21" s="32" t="n">
        <x:v>0.15</x:v>
      </x:c>
      <x:c r="F21" s="32" t="n">
        <x:v>0.1</x:v>
      </x:c>
      <x:c r="G21" s="26" t="str">
        <x:v>Гипотеза</x:v>
      </x:c>
      <x:c r="H21" s="26" t="str">
        <x:v>Платежи, поддержка и инфраструктура; доля снижается при масштабе</x:v>
      </x:c>
    </x:row>
    <x:row r="22">
      <x:c r="A22" s="26" t="str">
        <x:v>Стоимость AI от выручки AI-баланса</x:v>
      </x:c>
      <x:c r="B22" s="26" t="str">
        <x:v>% выручки</x:v>
      </x:c>
      <x:c r="C22" s="31" t="n">
        <x:f>CHOOSE($B$3,D22,E22,F22)</x:f>
        <x:v>0.2</x:v>
      </x:c>
      <x:c r="D22" s="32" t="n">
        <x:v>0.25</x:v>
      </x:c>
      <x:c r="E22" s="32" t="n">
        <x:v>0.2</x:v>
      </x:c>
      <x:c r="F22" s="32" t="n">
        <x:v>0.15</x:v>
      </x:c>
      <x:c r="G22" s="26" t="str">
        <x:v>Гипотеза</x:v>
      </x:c>
      <x:c r="H22" s="26" t="str">
        <x:v>Контролировать фактический расход моделей</x:v>
      </x:c>
    </x:row>
    <x:row r="23">
      <x:c r="A23" s="26" t="str">
        <x:v>Себестоимость консультаций</x:v>
      </x:c>
      <x:c r="B23" s="26" t="str">
        <x:v>% выручки</x:v>
      </x:c>
      <x:c r="C23" s="31" t="n">
        <x:f>CHOOSE($B$3,D23,E23,F23)</x:f>
        <x:v>0.5</x:v>
      </x:c>
      <x:c r="D23" s="32" t="n">
        <x:v>0.55</x:v>
      </x:c>
      <x:c r="E23" s="32" t="n">
        <x:v>0.5</x:v>
      </x:c>
      <x:c r="F23" s="32" t="n">
        <x:v>0.45</x:v>
      </x:c>
      <x:c r="G23" s="26" t="str">
        <x:v>Гипотеза</x:v>
      </x:c>
      <x:c r="H23" s="26" t="str">
        <x:v>Работа эксперта и операционные расходы</x:v>
      </x:c>
    </x:row>
    <x:row r="24">
      <x:c r="A24" s="26" t="str">
        <x:v>Себестоимость индивидуальной карты</x:v>
      </x:c>
      <x:c r="B24" s="26" t="str">
        <x:v>% выручки</x:v>
      </x:c>
      <x:c r="C24" s="31" t="n">
        <x:f>CHOOSE($B$3,D24,E24,F24)</x:f>
        <x:v>0.35</x:v>
      </x:c>
      <x:c r="D24" s="32" t="n">
        <x:v>0.4</x:v>
      </x:c>
      <x:c r="E24" s="32" t="n">
        <x:v>0.35</x:v>
      </x:c>
      <x:c r="F24" s="32" t="n">
        <x:v>0.3</x:v>
      </x:c>
      <x:c r="G24" s="26" t="str">
        <x:v>Гипотеза</x:v>
      </x:c>
      <x:c r="H24" s="26" t="str">
        <x:v>Трудозатраты команды</x:v>
      </x:c>
    </x:row>
    <x:row r="25">
      <x:c r="A25" s="26" t="str">
        <x:v>Себестоимость сопровождения ремонта</x:v>
      </x:c>
      <x:c r="B25" s="26" t="str">
        <x:v>% выручки</x:v>
      </x:c>
      <x:c r="C25" s="31" t="n">
        <x:f>CHOOSE($B$3,D25,E25,F25)</x:f>
        <x:v>0.35</x:v>
      </x:c>
      <x:c r="D25" s="32" t="n">
        <x:v>0.4</x:v>
      </x:c>
      <x:c r="E25" s="32" t="n">
        <x:v>0.35</x:v>
      </x:c>
      <x:c r="F25" s="32" t="n">
        <x:v>0.3</x:v>
      </x:c>
      <x:c r="G25" s="26" t="str">
        <x:v>Гипотеза</x:v>
      </x:c>
      <x:c r="H25" s="26" t="str">
        <x:v>Работа руководителя проекта, технадзор и контроль качества</x:v>
      </x:c>
    </x:row>
    <x:row r="26">
      <x:c r="A26" s="26" t="str">
        <x:v>Себестоимость обучения</x:v>
      </x:c>
      <x:c r="B26" s="26" t="str">
        <x:v>% выручки</x:v>
      </x:c>
      <x:c r="C26" s="31" t="n">
        <x:f>CHOOSE($B$3,D26,E26,F26)</x:f>
        <x:v>0.25</x:v>
      </x:c>
      <x:c r="D26" s="32" t="n">
        <x:v>0.3</x:v>
      </x:c>
      <x:c r="E26" s="32" t="n">
        <x:v>0.25</x:v>
      </x:c>
      <x:c r="F26" s="32" t="n">
        <x:v>0.2</x:v>
      </x:c>
      <x:c r="G26" s="26" t="str">
        <x:v>Гипотеза</x:v>
      </x:c>
      <x:c r="H26" s="26" t="str">
        <x:v>Кураторы и производство программы</x:v>
      </x:c>
    </x:row>
    <x:row r="27">
      <x:c r="A27" s="26" t="str">
        <x:v>Клиентов на одного ассистента</x:v>
      </x:c>
      <x:c r="B27" s="26" t="str">
        <x:v>клиентов</x:v>
      </x:c>
      <x:c r="C27" s="29" t="n">
        <x:f>CHOOSE($B$3,D27,E27,F27)</x:f>
        <x:v>20</x:v>
      </x:c>
      <x:c r="D27" s="30" t="n">
        <x:v>15</x:v>
      </x:c>
      <x:c r="E27" s="30" t="n">
        <x:v>20</x:v>
      </x:c>
      <x:c r="F27" s="30" t="n">
        <x:v>25</x:v>
      </x:c>
      <x:c r="G27" s="26" t="str">
        <x:v>Гипотеза</x:v>
      </x:c>
      <x:c r="H27" s="26" t="str">
        <x:v>Проверить фактическую загрузку и долю эскалаций</x:v>
      </x:c>
    </x:row>
    <x:row r="28">
      <x:c r="A28" s="26" t="str">
        <x:v>Объектов на одного руководителя проекта</x:v>
      </x:c>
      <x:c r="B28" s="26" t="str">
        <x:v>объектов</x:v>
      </x:c>
      <x:c r="C28" s="29" t="n">
        <x:f>CHOOSE($B$3,D28,E28,F28)</x:f>
        <x:v>4</x:v>
      </x:c>
      <x:c r="D28" s="30" t="n">
        <x:v>3</x:v>
      </x:c>
      <x:c r="E28" s="30" t="n">
        <x:v>4</x:v>
      </x:c>
      <x:c r="F28" s="30" t="n">
        <x:v>5</x:v>
      </x:c>
      <x:c r="G28" s="26" t="str">
        <x:v>Гипотеза</x:v>
      </x:c>
      <x:c r="H28" s="26" t="str">
        <x:v>Проверить без потери качества сопровождения</x:v>
      </x:c>
    </x:row>
    <x:row r="29">
      <x:c r="A29" s="26" t="str">
        <x:v>Постоянная команда</x:v>
      </x:c>
      <x:c r="B29" s="26" t="str">
        <x:v>₽/мес</x:v>
      </x:c>
      <x:c r="C29" s="29" t="n">
        <x:f>CHOOSE($B$3,D29,E29,F29)</x:f>
        <x:v>450000</x:v>
      </x:c>
      <x:c r="D29" s="30" t="n">
        <x:v>350000</x:v>
      </x:c>
      <x:c r="E29" s="30" t="n">
        <x:v>450000</x:v>
      </x:c>
      <x:c r="F29" s="30" t="n">
        <x:v>650000</x:v>
      </x:c>
      <x:c r="G29" s="26" t="str">
        <x:v>Гипотеза</x:v>
      </x:c>
      <x:c r="H29" s="26" t="str">
        <x:v>Компактное ядро; проектные специалисты остаются в прямой себестоимости</x:v>
      </x:c>
    </x:row>
    <x:row r="30">
      <x:c r="A30" s="26" t="str">
        <x:v>Разработка продукта</x:v>
      </x:c>
      <x:c r="B30" s="26" t="str">
        <x:v>₽/мес</x:v>
      </x:c>
      <x:c r="C30" s="29" t="n">
        <x:f>CHOOSE($B$3,D30,E30,F30)</x:f>
        <x:v>300000</x:v>
      </x:c>
      <x:c r="D30" s="30" t="n">
        <x:v>250000</x:v>
      </x:c>
      <x:c r="E30" s="30" t="n">
        <x:v>300000</x:v>
      </x:c>
      <x:c r="F30" s="30" t="n">
        <x:v>450000</x:v>
      </x:c>
      <x:c r="G30" s="26" t="str">
        <x:v>Гипотеза</x:v>
      </x:c>
      <x:c r="H30" s="26" t="str">
        <x:v>Клиентское приложение, кабинет специалистов, ERP, данные и AI</x:v>
      </x:c>
    </x:row>
    <x:row r="31">
      <x:c r="A31" s="26" t="str">
        <x:v>Административные расходы</x:v>
      </x:c>
      <x:c r="B31" s="26" t="str">
        <x:v>₽/мес</x:v>
      </x:c>
      <x:c r="C31" s="29" t="n">
        <x:f>CHOOSE($B$3,D31,E31,F31)</x:f>
        <x:v>120000</x:v>
      </x:c>
      <x:c r="D31" s="30" t="n">
        <x:v>100000</x:v>
      </x:c>
      <x:c r="E31" s="30" t="n">
        <x:v>120000</x:v>
      </x:c>
      <x:c r="F31" s="30" t="n">
        <x:v>160000</x:v>
      </x:c>
      <x:c r="G31" s="26" t="str">
        <x:v>Гипотеза</x:v>
      </x:c>
      <x:c r="H31" s="26" t="str">
        <x:v>Юристы, финансы и офис</x:v>
      </x:c>
    </x:row>
    <x:row r="32">
      <x:c r="A32" s="26" t="str">
        <x:v>Контент и органика</x:v>
      </x:c>
      <x:c r="B32" s="26" t="str">
        <x:v>₽/мес</x:v>
      </x:c>
      <x:c r="C32" s="29" t="n">
        <x:f>CHOOSE($B$3,D32,E32,F32)</x:f>
        <x:v>80000</x:v>
      </x:c>
      <x:c r="D32" s="30" t="n">
        <x:v>50000</x:v>
      </x:c>
      <x:c r="E32" s="30" t="n">
        <x:v>80000</x:v>
      </x:c>
      <x:c r="F32" s="30" t="n">
        <x:v>120000</x:v>
      </x:c>
      <x:c r="G32" s="26" t="str">
        <x:v>Гипотеза</x:v>
      </x:c>
      <x:c r="H32" s="26" t="str">
        <x:v>Расходы отдельно от платной рекламы</x:v>
      </x:c>
    </x:row>
    <x:row r="33">
      <x:c r="A33" s="26" t="str">
        <x:v>Капитальные и разовые затраты</x:v>
      </x:c>
      <x:c r="B33" s="26" t="str">
        <x:v>₽/мес</x:v>
      </x:c>
      <x:c r="C33" s="29" t="n">
        <x:f>CHOOSE($B$3,D33,E33,F33)</x:f>
        <x:v>75000</x:v>
      </x:c>
      <x:c r="D33" s="30" t="n">
        <x:v>50000</x:v>
      </x:c>
      <x:c r="E33" s="30" t="n">
        <x:v>75000</x:v>
      </x:c>
      <x:c r="F33" s="30" t="n">
        <x:v>100000</x:v>
      </x:c>
      <x:c r="G33" s="26" t="str">
        <x:v>Гипотеза</x:v>
      </x:c>
      <x:c r="H33" s="26" t="str">
        <x:v>Оборудование и внедрение</x:v>
      </x:c>
    </x:row>
    <x:row r="34">
      <x:c r="A34" s="26" t="str">
        <x:v>Инвестиционный раунд</x:v>
      </x:c>
      <x:c r="B34" s="26" t="str">
        <x:v>₽</x:v>
      </x:c>
      <x:c r="C34" s="29" t="n">
        <x:f>CHOOSE($B$3,D34,E34,F34)</x:f>
        <x:v>25000000</x:v>
      </x:c>
      <x:c r="D34" s="30" t="n">
        <x:v>25000000</x:v>
      </x:c>
      <x:c r="E34" s="30" t="n">
        <x:v>25000000</x:v>
      </x:c>
      <x:c r="F34" s="30" t="n">
        <x:v>25000000</x:v>
      </x:c>
      <x:c r="G34" s="26" t="str">
        <x:v>План</x:v>
      </x:c>
      <x:c r="H34" s="26" t="str">
        <x:v>Целевой объём привлечения 25 млн ₽</x:v>
      </x:c>
    </x:row>
    <x:row r="35">
      <x:c r="A35" s="26" t="str">
        <x:v>План выручки года 1</x:v>
      </x:c>
      <x:c r="B35" s="26" t="str">
        <x:v>₽</x:v>
      </x:c>
      <x:c r="C35" s="29" t="n">
        <x:f>CHOOSE($B$3,D35,E35,F35)</x:f>
        <x:v>65000000</x:v>
      </x:c>
      <x:c r="D35" s="30" t="n">
        <x:v>35000000</x:v>
      </x:c>
      <x:c r="E35" s="30" t="n">
        <x:v>65000000</x:v>
      </x:c>
      <x:c r="F35" s="30" t="n">
        <x:v>100000000</x:v>
      </x:c>
      <x:c r="G35" s="26" t="str">
        <x:v>План</x:v>
      </x:c>
      <x:c r="H35" s="26" t="str">
        <x:v>Три сценария первого года: 35 / 65 / 100 млн ₽</x:v>
      </x:c>
    </x:row>
    <x:row r="36">
      <x:c r="A36" s="26" t="str">
        <x:v>Рост выручки в году 2</x:v>
      </x:c>
      <x:c r="B36" s="26" t="str">
        <x:v>% к прошлому году</x:v>
      </x:c>
      <x:c r="C36" s="31" t="n">
        <x:f>CHOOSE($B$3,D36,E36,F36)</x:f>
        <x:v>0.461538461538</x:v>
      </x:c>
      <x:c r="D36" s="32" t="n">
        <x:v>0.285714285714</x:v>
      </x:c>
      <x:c r="E36" s="32" t="n">
        <x:v>0.461538461538</x:v>
      </x:c>
      <x:c r="F36" s="32" t="n">
        <x:v>0.45</x:v>
      </x:c>
      <x:c r="G36" s="26" t="str">
        <x:v>Гипотеза</x:v>
      </x:c>
      <x:c r="H36" s="26" t="str">
        <x:v>Плавное увеличение после проверки первых каналов</x:v>
      </x:c>
    </x:row>
    <x:row r="37">
      <x:c r="A37" s="26" t="str">
        <x:v>Рост выручки в году 3</x:v>
      </x:c>
      <x:c r="B37" s="26" t="str">
        <x:v>% к прошлому году</x:v>
      </x:c>
      <x:c r="C37" s="31" t="n">
        <x:f>CHOOSE($B$3,D37,E37,F37)</x:f>
        <x:v>0.473684210526</x:v>
      </x:c>
      <x:c r="D37" s="32" t="n">
        <x:v>0.288888888889</x:v>
      </x:c>
      <x:c r="E37" s="32" t="n">
        <x:v>0.473684210526</x:v>
      </x:c>
      <x:c r="F37" s="32" t="n">
        <x:v>0.448275862069</x:v>
      </x:c>
      <x:c r="G37" s="26" t="str">
        <x:v>Гипотеза</x:v>
      </x:c>
      <x:c r="H37" s="26" t="str">
        <x:v>Рост после подтверждения удержания и повторных продаж</x:v>
      </x:c>
    </x:row>
    <x:row r="38">
      <x:c r="A38" s="26" t="str">
        <x:v>Рост выручки в году 4</x:v>
      </x:c>
      <x:c r="B38" s="26" t="str">
        <x:v>% к прошлому году</x:v>
      </x:c>
      <x:c r="C38" s="31" t="n">
        <x:f>CHOOSE($B$3,D38,E38,F38)</x:f>
        <x:v>0.571428571429</x:v>
      </x:c>
      <x:c r="D38" s="32" t="n">
        <x:v>0.293103448276</x:v>
      </x:c>
      <x:c r="E38" s="32" t="n">
        <x:v>0.571428571429</x:v>
      </x:c>
      <x:c r="F38" s="32" t="n">
        <x:v>0.52380952381</x:v>
      </x:c>
      <x:c r="G38" s="26" t="str">
        <x:v>Гипотеза</x:v>
      </x:c>
      <x:c r="H38" s="26" t="str">
        <x:v>Ускорение после автоматизации типовых операций</x:v>
      </x:c>
    </x:row>
    <x:row r="39">
      <x:c r="A39" s="26" t="str">
        <x:v>Рост выручки в году 5</x:v>
      </x:c>
      <x:c r="B39" s="26" t="str">
        <x:v>% к прошлому году</x:v>
      </x:c>
      <x:c r="C39" s="31" t="n">
        <x:f>CHOOSE($B$3,D39,E39,F39)</x:f>
        <x:v>0.645454545455</x:v>
      </x:c>
      <x:c r="D39" s="32" t="n">
        <x:v>0.266666666667</x:v>
      </x:c>
      <x:c r="E39" s="32" t="n">
        <x:v>0.645454545455</x:v>
      </x:c>
      <x:c r="F39" s="32" t="n">
        <x:v>0.5</x:v>
      </x:c>
      <x:c r="G39" s="26" t="str">
        <x:v>Гипотеза</x:v>
      </x:c>
      <x:c r="H39" s="26" t="str">
        <x:v>Масштабирование продуктовой модели и партнёрств</x:v>
      </x:c>
    </x:row>
    <x:row r="40">
      <x:c r="A40" s="26" t="str">
        <x:v>Ежегодный рост постоянных расходов</x:v>
      </x:c>
      <x:c r="B40" s="26" t="str">
        <x:v>% к прошлому году</x:v>
      </x:c>
      <x:c r="C40" s="31" t="n">
        <x:f>CHOOSE($B$3,D40,E40,F40)</x:f>
        <x:v>0.05</x:v>
      </x:c>
      <x:c r="D40" s="32" t="n">
        <x:v>0.03</x:v>
      </x:c>
      <x:c r="E40" s="32" t="n">
        <x:v>0.05</x:v>
      </x:c>
      <x:c r="F40" s="32" t="n">
        <x:v>0.08</x:v>
      </x:c>
      <x:c r="G40" s="26" t="str">
        <x:v>Гипотеза</x:v>
      </x:c>
      <x:c r="H40" s="26" t="str">
        <x:v>Расходы растут медленнее выручки; найм открывается только после загрузки</x:v>
      </x:c>
    </x:row>
    <x:row r="41">
      <x:c r="A41" s="26" t="str">
        <x:v>Доля инвестора после раунда</x:v>
      </x:c>
      <x:c r="B41" s="26" t="str">
        <x:v>% компании</x:v>
      </x:c>
      <x:c r="C41" s="31" t="n">
        <x:f>CHOOSE($B$3,D41,E41,F41)</x:f>
        <x:v>0.2</x:v>
      </x:c>
      <x:c r="D41" s="32" t="n">
        <x:v>0.2</x:v>
      </x:c>
      <x:c r="E41" s="32" t="n">
        <x:v>0.2</x:v>
      </x:c>
      <x:c r="F41" s="32" t="n">
        <x:v>0.2</x:v>
      </x:c>
      <x:c r="G41" s="26" t="str">
        <x:v>Гипотеза сделки</x:v>
      </x:c>
      <x:c r="H41" s="26" t="str">
        <x:v>Нужна только для расчёта доходности; заменить условиями term sheet</x:v>
      </x:c>
    </x:row>
    <x:row r="42">
      <x:c r="A42" s="26" t="str">
        <x:v>Оценка компании при выходе</x:v>
      </x:c>
      <x:c r="B42" s="26" t="str">
        <x:v>x EBITDA</x:v>
      </x:c>
      <x:c r="C42" s="33" t="n">
        <x:f>CHOOSE($B$3,D42,E42,F42)</x:f>
        <x:v>10</x:v>
      </x:c>
      <x:c r="D42" s="34" t="n">
        <x:v>10</x:v>
      </x:c>
      <x:c r="E42" s="34" t="n">
        <x:v>10</x:v>
      </x:c>
      <x:c r="F42" s="34" t="n">
        <x:v>10</x:v>
      </x:c>
      <x:c r="G42" s="26" t="str">
        <x:v>Гипотеза оценки</x:v>
      </x:c>
      <x:c r="H42" s="26" t="str">
        <x:v>10x EBITDA учитывает не только денежный поток, но и ценность аудитории людей в ремонте для банков, застройщиков и экосистемных компаний</x:v>
      </x:c>
    </x:row>
    <x:row r="43">
      <x:c r="A43" s="26" t="str">
        <x:v>Средний срок подписки «С экспертом»</x:v>
      </x:c>
      <x:c r="B43" s="26" t="str">
        <x:v>мес</x:v>
      </x:c>
      <x:c r="C43" s="29" t="n">
        <x:f>CHOOSE($B$3,D43,E43,F43)</x:f>
        <x:v>3</x:v>
      </x:c>
      <x:c r="D43" s="30" t="n">
        <x:v>2</x:v>
      </x:c>
      <x:c r="E43" s="30" t="n">
        <x:v>3</x:v>
      </x:c>
      <x:c r="F43" s="30" t="n">
        <x:v>4</x:v>
      </x:c>
      <x:c r="G43" s="26" t="str">
        <x:v>Гипотеза</x:v>
      </x:c>
      <x:c r="H43" s="26" t="str">
        <x:v>Базовый срок — 3 месяца; проверить удержание по когортам</x:v>
      </x:c>
    </x:row>
    <x:row r="44">
      <x:c r="A44" s="26" t="str">
        <x:v>Средний чек обучения</x:v>
      </x:c>
      <x:c r="B44" s="26" t="str">
        <x:v>₽</x:v>
      </x:c>
      <x:c r="C44" s="29" t="n">
        <x:f>CHOOSE($B$3,D44,E44,F44)</x:f>
        <x:v>50000</x:v>
      </x:c>
      <x:c r="D44" s="30" t="n">
        <x:v>50000</x:v>
      </x:c>
      <x:c r="E44" s="30" t="n">
        <x:v>50000</x:v>
      </x:c>
      <x:c r="F44" s="30" t="n">
        <x:v>50000</x:v>
      </x:c>
      <x:c r="G44" s="26" t="str">
        <x:v>Гипотеза</x:v>
      </x:c>
      <x:c r="H44" s="26" t="str">
        <x:v>Ориентир по пилоту; заменить фактом</x:v>
      </x:c>
    </x:row>
    <x:row r="45">
      <x:c r="A45" s="26" t="str">
        <x:v>Доля свободного денежного потока на дивиденды с года 3</x:v>
      </x:c>
      <x:c r="B45" s="26" t="str">
        <x:v>%</x:v>
      </x:c>
      <x:c r="C45" s="31" t="n">
        <x:f>CHOOSE($B$3,D45,E45,F45)</x:f>
        <x:v>0.35</x:v>
      </x:c>
      <x:c r="D45" s="32" t="n">
        <x:v>0.35</x:v>
      </x:c>
      <x:c r="E45" s="32" t="n">
        <x:v>0.35</x:v>
      </x:c>
      <x:c r="F45" s="32" t="n">
        <x:v>0.35</x:v>
      </x:c>
      <x:c r="G45" s="26" t="str">
        <x:v>Политика</x:v>
      </x:c>
      <x:c r="H45" s="26" t="str">
        <x:v>В годах 1–2 выплат нет; далее 35% при достаточном резерве</x:v>
      </x:c>
    </x:row>
    <x:row r="46">
      <x:c r="A46" s="26" t="str">
        <x:v>Минимальный резерв перед дивидендами</x:v>
      </x:c>
      <x:c r="B46" s="26" t="str">
        <x:v>мес постоянных расходов</x:v>
      </x:c>
      <x:c r="C46" s="29" t="n">
        <x:f>CHOOSE($B$3,D46,E46,F46)</x:f>
        <x:v>12</x:v>
      </x:c>
      <x:c r="D46" s="30" t="n">
        <x:v>12</x:v>
      </x:c>
      <x:c r="E46" s="30" t="n">
        <x:v>12</x:v>
      </x:c>
      <x:c r="F46" s="30" t="n">
        <x:v>12</x:v>
      </x:c>
      <x:c r="G46" s="26" t="str">
        <x:v>Политика</x:v>
      </x:c>
      <x:c r="H46" s="26" t="str">
        <x:v>Дивиденды не выплачиваются, если остаток ниже резерва</x:v>
      </x:c>
    </x:row>
    <x:row r="47">
      <x:c r="A47" s="48"/>
      <x:c r="B47" s="48"/>
      <x:c r="C47" s="48"/>
      <x:c r="D47" s="48"/>
      <x:c r="E47" s="48"/>
      <x:c r="F47" s="48"/>
      <x:c r="G47" s="48"/>
      <x:c r="H47" s="48"/>
    </x:row>
    <x:row r="48" ht="24" customHeight="1">
      <x:c r="A48" s="37" t="str">
        <x:v>Микс выручки</x:v>
      </x:c>
      <x:c r="B48" s="37"/>
      <x:c r="C48" s="37"/>
      <x:c r="D48" s="37"/>
      <x:c r="E48" s="37"/>
      <x:c r="F48" s="37"/>
      <x:c r="G48" s="37"/>
      <x:c r="H48" s="37"/>
    </x:row>
    <x:row r="49" ht="28" customHeight="1">
      <x:c r="A49" s="18" t="str">
        <x:v>Продукт</x:v>
      </x:c>
      <x:c r="B49" s="18" t="str">
        <x:v>Год 1</x:v>
      </x:c>
      <x:c r="C49" s="18" t="str">
        <x:v>Год 2</x:v>
      </x:c>
      <x:c r="D49" s="18" t="str">
        <x:v>Год 3</x:v>
      </x:c>
      <x:c r="E49" s="18" t="str">
        <x:v>Год 4</x:v>
      </x:c>
      <x:c r="F49" s="18" t="str">
        <x:v>Год 5</x:v>
      </x:c>
      <x:c r="G49" s="18" t="str">
        <x:v>Расшифровка</x:v>
      </x:c>
      <x:c r="H49" s="48"/>
    </x:row>
    <x:row r="50" ht="46" customHeight="1">
      <x:c r="A50" s="22" t="str">
        <x:v>Источник выручки</x:v>
      </x:c>
      <x:c r="B50" s="22" t="str">
        <x:v>Доля выручки</x:v>
      </x:c>
      <x:c r="C50" s="22" t="str">
        <x:v>Доля выручки</x:v>
      </x:c>
      <x:c r="D50" s="22" t="str">
        <x:v>Доля выручки</x:v>
      </x:c>
      <x:c r="E50" s="22" t="str">
        <x:v>Доля выручки</x:v>
      </x:c>
      <x:c r="F50" s="22" t="str">
        <x:v>Доля выручки</x:v>
      </x:c>
      <x:c r="G50" s="22" t="str">
        <x:v>Логика оплаты и роль продукта</x:v>
      </x:c>
      <x:c r="H50" s="48"/>
    </x:row>
    <x:row r="51">
      <x:c r="A51" s="26" t="str">
        <x:v>Light</x:v>
      </x:c>
      <x:c r="B51" s="32" t="n">
        <x:v>0.15</x:v>
      </x:c>
      <x:c r="C51" s="32" t="n">
        <x:v>0.22</x:v>
      </x:c>
      <x:c r="D51" s="32" t="n">
        <x:v>0.32</x:v>
      </x:c>
      <x:c r="E51" s="32" t="n">
        <x:v>0.42</x:v>
      </x:c>
      <x:c r="F51" s="32" t="n">
        <x:v>0.52</x:v>
      </x:c>
      <x:c r="G51" s="26" t="str">
        <x:v>Тариф 1: Light, 990 ₽ в месяц</x:v>
      </x:c>
      <x:c r="H51" s="48"/>
    </x:row>
    <x:row r="52">
      <x:c r="A52" s="26" t="str">
        <x:v>С экспертом</x:v>
      </x:c>
      <x:c r="B52" s="32" t="n">
        <x:v>0.08</x:v>
      </x:c>
      <x:c r="C52" s="32" t="n">
        <x:v>0.1</x:v>
      </x:c>
      <x:c r="D52" s="32" t="n">
        <x:v>0.12</x:v>
      </x:c>
      <x:c r="E52" s="32" t="n">
        <x:v>0.14</x:v>
      </x:c>
      <x:c r="F52" s="32" t="n">
        <x:v>0.15</x:v>
      </x:c>
      <x:c r="G52" s="26" t="str">
        <x:v>Тариф 2: с экспертом, 14 990 ₽ в месяц</x:v>
      </x:c>
      <x:c r="H52" s="48"/>
    </x:row>
    <x:row r="53">
      <x:c r="A53" s="26" t="str">
        <x:v>AI-баланс</x:v>
      </x:c>
      <x:c r="B53" s="32" t="n">
        <x:v>0.07</x:v>
      </x:c>
      <x:c r="C53" s="32" t="n">
        <x:v>0.08</x:v>
      </x:c>
      <x:c r="D53" s="32" t="n">
        <x:v>0.1</x:v>
      </x:c>
      <x:c r="E53" s="32" t="n">
        <x:v>0.12</x:v>
      </x:c>
      <x:c r="F53" s="32" t="n">
        <x:v>0.13</x:v>
      </x:c>
      <x:c r="G53" s="26" t="str">
        <x:v>Дополнительное пополнение внутри приложения</x:v>
      </x:c>
      <x:c r="H53" s="48"/>
    </x:row>
    <x:row r="54">
      <x:c r="A54" s="26" t="str">
        <x:v>Дополнительные услуги</x:v>
      </x:c>
      <x:c r="B54" s="32" t="n">
        <x:v>0.05</x:v>
      </x:c>
      <x:c r="C54" s="32" t="n">
        <x:v>0.05</x:v>
      </x:c>
      <x:c r="D54" s="32" t="n">
        <x:v>0.06</x:v>
      </x:c>
      <x:c r="E54" s="32" t="n">
        <x:v>0.07</x:v>
      </x:c>
      <x:c r="F54" s="32" t="n">
        <x:v>0.07</x:v>
      </x:c>
      <x:c r="G54" s="26" t="str">
        <x:v>Консультации, выезды, приёмка и документы по 4 900 ₽</x:v>
      </x:c>
      <x:c r="H54" s="48"/>
    </x:row>
    <x:row r="55">
      <x:c r="A55" s="26" t="str">
        <x:v>Типовой маршрут</x:v>
      </x:c>
      <x:c r="B55" s="32" t="n">
        <x:v>0.05</x:v>
      </x:c>
      <x:c r="C55" s="32" t="n">
        <x:v>0.05</x:v>
      </x:c>
      <x:c r="D55" s="32" t="n">
        <x:v>0.05</x:v>
      </x:c>
      <x:c r="E55" s="32" t="n">
        <x:v>0.04</x:v>
      </x:c>
      <x:c r="F55" s="32" t="n">
        <x:v>0.03</x:v>
      </x:c>
      <x:c r="G55" s="26" t="str">
        <x:v>Разовый персональный план ремонта</x:v>
      </x:c>
      <x:c r="H55" s="48"/>
    </x:row>
    <x:row r="56">
      <x:c r="A56" s="26" t="str">
        <x:v>Индивидуальная карта</x:v>
      </x:c>
      <x:c r="B56" s="32" t="n">
        <x:v>0.1</x:v>
      </x:c>
      <x:c r="C56" s="32" t="n">
        <x:v>0.08</x:v>
      </x:c>
      <x:c r="D56" s="32" t="n">
        <x:v>0.06</x:v>
      </x:c>
      <x:c r="E56" s="32" t="n">
        <x:v>0.04</x:v>
      </x:c>
      <x:c r="F56" s="32" t="n">
        <x:v>0.03</x:v>
      </x:c>
      <x:c r="G56" s="26" t="str">
        <x:v>Подробная карта ремонта под объект</x:v>
      </x:c>
      <x:c r="H56" s="48"/>
    </x:row>
    <x:row r="57">
      <x:c r="A57" s="26" t="str">
        <x:v>Сопровождение ремонта</x:v>
      </x:c>
      <x:c r="B57" s="32" t="n">
        <x:v>0.45</x:v>
      </x:c>
      <x:c r="C57" s="32" t="n">
        <x:v>0.37</x:v>
      </x:c>
      <x:c r="D57" s="32" t="n">
        <x:v>0.24</x:v>
      </x:c>
      <x:c r="E57" s="32" t="n">
        <x:v>0.12</x:v>
      </x:c>
      <x:c r="F57" s="32" t="n">
        <x:v>0.04</x:v>
      </x:c>
      <x:c r="G57" s="26" t="str">
        <x:v>Управление ремонтом через РП и проверенных специалистов</x:v>
      </x:c>
      <x:c r="H57" s="48"/>
    </x:row>
    <x:row r="58">
      <x:c r="A58" s="26" t="str">
        <x:v>Обучение</x:v>
      </x:c>
      <x:c r="B58" s="32" t="n">
        <x:v>0.05</x:v>
      </x:c>
      <x:c r="C58" s="32" t="n">
        <x:v>0.05</x:v>
      </x:c>
      <x:c r="D58" s="32" t="n">
        <x:v>0.05</x:v>
      </x:c>
      <x:c r="E58" s="32" t="n">
        <x:v>0.05</x:v>
      </x:c>
      <x:c r="F58" s="32" t="n">
        <x:v>0.03</x:v>
      </x:c>
      <x:c r="G58" s="26" t="str">
        <x:v>Школа руководителей проектов и ассистентов</x:v>
      </x:c>
      <x:c r="H58" s="48"/>
    </x:row>
    <x:row r="59">
      <x:c r="A59" s="49" t="str">
        <x:v>Итого</x:v>
      </x:c>
      <x:c r="B59" s="50" t="n">
        <x:f>SUM(B51:B58)</x:f>
        <x:v>1</x:v>
      </x:c>
      <x:c r="C59" s="50" t="n">
        <x:f>SUM(C51:C58)</x:f>
        <x:v>1</x:v>
      </x:c>
      <x:c r="D59" s="50" t="n">
        <x:f>SUM(D51:D58)</x:f>
        <x:v>1.0000000000000002</x:v>
      </x:c>
      <x:c r="E59" s="50" t="n">
        <x:f>SUM(E51:E58)</x:f>
        <x:v>1</x:v>
      </x:c>
      <x:c r="F59" s="50" t="n">
        <x:f>SUM(F51:F58)</x:f>
        <x:v>1.0000000000000002</x:v>
      </x:c>
      <x:c r="G59" s="49" t="str">
        <x:v>Каждый год должен составлять 100%</x:v>
      </x:c>
      <x:c r="H59" s="48"/>
    </x:row>
    <x:row r="60">
      <x:c r="A60" s="48"/>
      <x:c r="B60" s="48"/>
      <x:c r="C60" s="48"/>
      <x:c r="D60" s="48"/>
      <x:c r="E60" s="48"/>
      <x:c r="F60" s="48"/>
      <x:c r="G60" s="48"/>
      <x:c r="H60" s="48"/>
    </x:row>
    <x:row r="61">
      <x:c r="A61" s="48"/>
      <x:c r="B61" s="48"/>
      <x:c r="C61" s="48"/>
      <x:c r="D61" s="48"/>
      <x:c r="E61" s="48"/>
      <x:c r="F61" s="48"/>
      <x:c r="G61" s="48"/>
      <x:c r="H61" s="48"/>
    </x:row>
    <x:row r="62" ht="24" customHeight="1">
      <x:c r="A62" s="37" t="str">
        <x:v>Распределение потенциальных клиентов по каналам</x:v>
      </x:c>
      <x:c r="B62" s="37"/>
      <x:c r="C62" s="37"/>
      <x:c r="D62" s="37"/>
      <x:c r="E62" s="37"/>
      <x:c r="F62" s="37"/>
      <x:c r="G62" s="37"/>
      <x:c r="H62" s="37"/>
    </x:row>
    <x:row r="63" ht="28" customHeight="1">
      <x:c r="A63" s="18" t="str">
        <x:v>Канал</x:v>
      </x:c>
      <x:c r="B63" s="18" t="str">
        <x:v>Доля людей</x:v>
      </x:c>
      <x:c r="C63" s="18" t="str">
        <x:v>Расшифровка</x:v>
      </x:c>
      <x:c r="D63" s="48"/>
      <x:c r="E63" s="48"/>
      <x:c r="F63" s="48"/>
      <x:c r="G63" s="48"/>
      <x:c r="H63" s="48"/>
    </x:row>
    <x:row r="64" ht="46" customHeight="1">
      <x:c r="A64" s="22" t="str">
        <x:v>Откуда приходит потенциальный клиент</x:v>
      </x:c>
      <x:c r="B64" s="22" t="str">
        <x:v>Доля людей с подтверждённым интересом</x:v>
      </x:c>
      <x:c r="C64" s="22" t="str">
        <x:v>Какие источники объединены в канале</x:v>
      </x:c>
      <x:c r="D64" s="48"/>
      <x:c r="E64" s="48"/>
      <x:c r="F64" s="48"/>
      <x:c r="G64" s="48"/>
      <x:c r="H64" s="48"/>
    </x:row>
    <x:row r="65">
      <x:c r="A65" s="26" t="str">
        <x:v>Платный трафик</x:v>
      </x:c>
      <x:c r="B65" s="32" t="n">
        <x:v>0.35</x:v>
      </x:c>
      <x:c r="C65" s="26" t="str">
        <x:v>Поиск, социальные сети и ретаргетинг</x:v>
      </x:c>
      <x:c r="D65" s="48"/>
      <x:c r="E65" s="48"/>
      <x:c r="F65" s="48"/>
      <x:c r="G65" s="48"/>
      <x:c r="H65" s="48"/>
    </x:row>
    <x:row r="66">
      <x:c r="A66" s="26" t="str">
        <x:v>Контент и органика</x:v>
      </x:c>
      <x:c r="B66" s="32" t="n">
        <x:v>0.2</x:v>
      </x:c>
      <x:c r="C66" s="26" t="str">
        <x:v>Контент, рекомендации и брендовый спрос</x:v>
      </x:c>
      <x:c r="D66" s="48"/>
      <x:c r="E66" s="48"/>
      <x:c r="F66" s="48"/>
      <x:c r="G66" s="48"/>
      <x:c r="H66" s="48"/>
    </x:row>
    <x:row r="67">
      <x:c r="A67" s="26" t="str">
        <x:v>Партнёры</x:v>
      </x:c>
      <x:c r="B67" s="32" t="n">
        <x:v>0.3</x:v>
      </x:c>
      <x:c r="C67" s="26" t="str">
        <x:v>Застройщики, дизайнеры, риелторы и поставщики</x:v>
      </x:c>
      <x:c r="D67" s="48"/>
      <x:c r="E67" s="48"/>
      <x:c r="F67" s="48"/>
      <x:c r="G67" s="48"/>
      <x:c r="H67" s="48"/>
    </x:row>
    <x:row r="68">
      <x:c r="A68" s="26" t="str">
        <x:v>Развитие партнёрской сети</x:v>
      </x:c>
      <x:c r="B68" s="32" t="n">
        <x:v>0.15</x:v>
      </x:c>
      <x:c r="C68" s="26" t="str">
        <x:v>Новые партнёры, которых подключает команда</x:v>
      </x:c>
      <x:c r="D68" s="48"/>
      <x:c r="E68" s="48"/>
      <x:c r="F68" s="48"/>
      <x:c r="G68" s="48"/>
      <x:c r="H68" s="48"/>
    </x:row>
    <x:row r="69">
      <x:c r="A69" s="49" t="str">
        <x:v>Итого</x:v>
      </x:c>
      <x:c r="B69" s="50" t="n">
        <x:f>SUM(B65:B68)</x:f>
        <x:v>1</x:v>
      </x:c>
      <x:c r="C69" s="49" t="str">
        <x:v>Должно быть 100%</x:v>
      </x:c>
      <x:c r="D69" s="48"/>
      <x:c r="E69" s="48"/>
      <x:c r="F69" s="48"/>
      <x:c r="G69" s="48"/>
      <x:c r="H69" s="48"/>
    </x:row>
    <x:row r="70">
      <x:c r="A70" s="48"/>
      <x:c r="B70" s="48"/>
      <x:c r="C70" s="48"/>
      <x:c r="D70" s="48"/>
      <x:c r="E70" s="48"/>
      <x:c r="F70" s="48"/>
      <x:c r="G70" s="48"/>
      <x:c r="H70" s="48"/>
    </x:row>
    <x:row r="71">
      <x:c r="A71" s="48"/>
      <x:c r="B71" s="48"/>
      <x:c r="C71" s="48"/>
      <x:c r="D71" s="48"/>
      <x:c r="E71" s="48"/>
      <x:c r="F71" s="48"/>
      <x:c r="G71" s="48"/>
      <x:c r="H71" s="48"/>
    </x:row>
    <x:row r="72" ht="24" customHeight="1">
      <x:c r="A72" s="37" t="str">
        <x:v>Основания и принятые решения</x:v>
      </x:c>
      <x:c r="B72" s="37"/>
      <x:c r="C72" s="37"/>
      <x:c r="D72" s="37"/>
      <x:c r="E72" s="37"/>
      <x:c r="F72" s="37"/>
      <x:c r="G72" s="37"/>
      <x:c r="H72" s="37"/>
    </x:row>
    <x:row r="73" ht="28" customHeight="1">
      <x:c r="A73" s="18" t="str">
        <x:v>Дата</x:v>
      </x:c>
      <x:c r="B73" s="18" t="str">
        <x:v>Источник</x:v>
      </x:c>
      <x:c r="C73" s="18" t="str">
        <x:v>Факт или решение</x:v>
      </x:c>
      <x:c r="D73" s="18" t="str">
        <x:v>Статус</x:v>
      </x:c>
      <x:c r="E73" s="18" t="str">
        <x:v>Где используется</x:v>
      </x:c>
      <x:c r="F73" s="18" t="str">
        <x:v>Что нужно уточнить</x:v>
      </x:c>
      <x:c r="G73" s="48"/>
      <x:c r="H73" s="48"/>
    </x:row>
    <x:row r="74" ht="46" customHeight="1">
      <x:c r="A74" s="22" t="str">
        <x:v>Когда зафиксировано</x:v>
      </x:c>
      <x:c r="B74" s="22" t="str">
        <x:v>Тип внутреннего материала без ссылки</x:v>
      </x:c>
      <x:c r="C74" s="22" t="str">
        <x:v>Какое правило вошло в модель</x:v>
      </x:c>
      <x:c r="D74" s="22" t="str">
        <x:v>Факт, план или гипотеза</x:v>
      </x:c>
      <x:c r="E74" s="22" t="str">
        <x:v>Какие расчёты зависят</x:v>
      </x:c>
      <x:c r="F74" s="22" t="str">
        <x:v>Как заменить гипотезу фактом</x:v>
      </x:c>
      <x:c r="G74" s="48"/>
      <x:c r="H74" s="48"/>
    </x:row>
    <x:row r="75">
      <x:c r="A75" s="26" t="str">
        <x:v>26.09.2026</x:v>
      </x:c>
      <x:c r="B75" s="26" t="str">
        <x:v>Актуальный продукт</x:v>
      </x:c>
      <x:c r="C75" s="26" t="str">
        <x:v>Цены: Light 990 ₽; с экспертом 14 990 ₽; допуслуги 4 900 ₽; маршрут 3 900 ₽; карта 39 900 ₽; сопровождение 10 000 ₽/м²</x:v>
      </x:c>
      <x:c r="D75" s="26" t="str">
        <x:v>Утверждено</x:v>
      </x:c>
      <x:c r="E75" s="26" t="str">
        <x:v>Цены и выручка</x:v>
      </x:c>
      <x:c r="F75" s="26" t="str">
        <x:v>Сверять только при изменении тарифов</x:v>
      </x:c>
      <x:c r="G75" s="48"/>
      <x:c r="H75" s="48"/>
    </x:row>
    <x:row r="76">
      <x:c r="A76" s="26" t="str">
        <x:v>27.09.2026</x:v>
      </x:c>
      <x:c r="B76" s="26" t="str">
        <x:v>Разбор модели</x:v>
      </x:c>
      <x:c r="C76" s="26" t="str">
        <x:v>Сценарии первого года: 35 / 65 / 100 млн ₽; расходы и штат наращиваются после подтверждения загрузки</x:v>
      </x:c>
      <x:c r="D76" s="26" t="str">
        <x:v>План</x:v>
      </x:c>
      <x:c r="E76" s="26" t="str">
        <x:v>Сценарии и Summary</x:v>
      </x:c>
      <x:c r="F76" s="26" t="str">
        <x:v>Обновлять после подтверждения воронки</x:v>
      </x:c>
      <x:c r="G76" s="48"/>
      <x:c r="H76" s="48"/>
    </x:row>
    <x:row r="77">
      <x:c r="A77" s="26" t="str">
        <x:v>25.09.2026</x:v>
      </x:c>
      <x:c r="B77" s="26" t="str">
        <x:v>Разбор модели</x:v>
      </x:c>
      <x:c r="C77" s="26" t="str">
        <x:v>AI-баланс — отдельная выручка; базовый ориентир 5 000 ₽ за цикл</x:v>
      </x:c>
      <x:c r="D77" s="26" t="str">
        <x:v>Гипотеза</x:v>
      </x:c>
      <x:c r="E77" s="26" t="str">
        <x:v>Выручка и AI-cost</x:v>
      </x:c>
      <x:c r="F77" s="26" t="str">
        <x:v>Измерить среднее пополнение и себестоимость</x:v>
      </x:c>
      <x:c r="G77" s="48"/>
      <x:c r="H77" s="48"/>
    </x:row>
    <x:row r="78">
      <x:c r="A78" s="26" t="str">
        <x:v>25.09.2026</x:v>
      </x:c>
      <x:c r="B78" s="26" t="str">
        <x:v>Разбор модели</x:v>
      </x:c>
      <x:c r="C78" s="26" t="str">
        <x:v>Доход с подрядчиков не включён; сопровождение считается по фиксированной цене</x:v>
      </x:c>
      <x:c r="D78" s="26" t="str">
        <x:v>Утверждено</x:v>
      </x:c>
      <x:c r="E78" s="26" t="str">
        <x:v>Выручка</x:v>
      </x:c>
      <x:c r="F78" s="26" t="str">
        <x:v>Добавлять комиссию только после утверждения модели</x:v>
      </x:c>
      <x:c r="G78" s="48"/>
      <x:c r="H78" s="48"/>
    </x:row>
    <x:row r="79">
      <x:c r="A79" s="26" t="str">
        <x:v>25.09.2026</x:v>
      </x:c>
      <x:c r="B79" s="26" t="str">
        <x:v>Разбор модели</x:v>
      </x:c>
      <x:c r="C79" s="26" t="str">
        <x:v>Воронка включает платный трафик, органику, партнёров и развитие сети</x:v>
      </x:c>
      <x:c r="D79" s="26" t="str">
        <x:v>Утверждено</x:v>
      </x:c>
      <x:c r="E79" s="26" t="str">
        <x:v>Funnel</x:v>
      </x:c>
      <x:c r="F79" s="26" t="str">
        <x:v>Вести CAC и конверсию отдельно по каналам</x:v>
      </x:c>
      <x:c r="G79" s="48"/>
      <x:c r="H79" s="48"/>
    </x:row>
    <x:row r="80">
      <x:c r="A80" s="26" t="str">
        <x:v>24.09.2026</x:v>
      </x:c>
      <x:c r="B80" s="26" t="str">
        <x:v>Протоколы созвонов</x:v>
      </x:c>
      <x:c r="C80" s="26" t="str">
        <x:v>Один ассистент обслуживает около 20 клиентов; загрузка РП требует проверки</x:v>
      </x:c>
      <x:c r="D80" s="26" t="str">
        <x:v>Гипотеза</x:v>
      </x:c>
      <x:c r="E80" s="26" t="str">
        <x:v>Capacity</x:v>
      </x:c>
      <x:c r="F80" s="26" t="str">
        <x:v>Измерить часы на клиента и число объектов без потери качества</x:v>
      </x:c>
      <x:c r="G80" s="48"/>
      <x:c r="H80" s="48"/>
    </x:row>
    <x:row r="81">
      <x:c r="A81" s="26" t="str">
        <x:v>27.09.2026</x:v>
      </x:c>
      <x:c r="B81" s="26" t="str">
        <x:v>Расчёт доходности</x:v>
      </x:c>
      <x:c r="C81" s="26" t="str">
        <x:v>Инвестор получает 20%; оценка выхода — 10x EBITDA; в годах 1–2 дивидендов нет, с года 3 — 35% свободного потока при резерве</x:v>
      </x:c>
      <x:c r="D81" s="26" t="str">
        <x:v>Гипотеза сделки</x:v>
      </x:c>
      <x:c r="E81" s="26" t="str">
        <x:v>Доходность инвестора</x:v>
      </x:c>
      <x:c r="F81" s="26" t="str">
        <x:v>10x учитывает денежный поток и стратегическую ценность аудитории собственников в ремонте для банков, застройщиков и экосистем</x:v>
      </x:c>
      <x:c r="G81" s="48"/>
      <x:c r="H81" s="48"/>
    </x:row>
    <x:row r="82">
      <x:c r="A82" s="48"/>
      <x:c r="B82" s="48"/>
      <x:c r="C82" s="48"/>
      <x:c r="D82" s="48"/>
      <x:c r="E82" s="48"/>
      <x:c r="F82" s="48"/>
      <x:c r="G82" s="48"/>
      <x:c r="H82" s="48"/>
    </x:row>
    <x:row r="83">
      <x:c r="A83" s="48"/>
      <x:c r="B83" s="48"/>
      <x:c r="C83" s="48"/>
      <x:c r="D83" s="48"/>
      <x:c r="E83" s="48"/>
      <x:c r="F83" s="48"/>
      <x:c r="G83" s="48"/>
      <x:c r="H83" s="48"/>
    </x:row>
    <x:row r="84" ht="24" customHeight="1">
      <x:c r="A84" s="37" t="str">
        <x:v>Плановый CAC по когортам</x:v>
      </x:c>
      <x:c r="B84" s="37"/>
      <x:c r="C84" s="37"/>
      <x:c r="D84" s="37"/>
      <x:c r="E84" s="37"/>
      <x:c r="F84" s="37"/>
      <x:c r="G84" s="37"/>
      <x:c r="H84" s="37"/>
    </x:row>
    <x:row r="85" ht="28" customHeight="1">
      <x:c r="A85" s="18" t="str">
        <x:v>Когорта</x:v>
      </x:c>
      <x:c r="B85" s="18" t="str">
        <x:v>Активно</x:v>
      </x:c>
      <x:c r="C85" s="18" t="str">
        <x:v>Консервативный</x:v>
      </x:c>
      <x:c r="D85" s="18" t="str">
        <x:v>Базовый</x:v>
      </x:c>
      <x:c r="E85" s="18" t="str">
        <x:v>Рост</x:v>
      </x:c>
      <x:c r="F85" s="18" t="str">
        <x:v>Статус</x:v>
      </x:c>
      <x:c r="G85" s="48"/>
      <x:c r="H85" s="48"/>
    </x:row>
    <x:row r="86" ht="46" customHeight="1">
      <x:c r="A86" s="22" t="str">
        <x:v>Группа клиентов</x:v>
      </x:c>
      <x:c r="B86" s="22" t="str">
        <x:v>Значение выбранного сценария</x:v>
      </x:c>
      <x:c r="C86" s="22" t="str">
        <x:v>Осторожный вариант</x:v>
      </x:c>
      <x:c r="D86" s="22" t="str">
        <x:v>Основной рабочий вариант</x:v>
      </x:c>
      <x:c r="E86" s="22" t="str">
        <x:v>Вариант быстрого роста</x:v>
      </x:c>
      <x:c r="F86" s="22" t="str">
        <x:v>Основание</x:v>
      </x:c>
      <x:c r="G86" s="48"/>
      <x:c r="H86" s="48"/>
    </x:row>
    <x:row r="87">
      <x:c r="A87" s="26" t="str">
        <x:v>Light + допуслуги</x:v>
      </x:c>
      <x:c r="B87" s="43" t="n">
        <x:f>CHOOSE($B$3,C87,D87,E87)</x:f>
        <x:v>2300</x:v>
      </x:c>
      <x:c r="C87" s="44" t="n">
        <x:v>3500</x:v>
      </x:c>
      <x:c r="D87" s="44" t="n">
        <x:v>2300</x:v>
      </x:c>
      <x:c r="E87" s="44" t="n">
        <x:v>1800</x:v>
      </x:c>
      <x:c r="F87" s="26" t="str">
        <x:v>Целевой CAC</x:v>
      </x:c>
      <x:c r="G87" s="48"/>
      <x:c r="H87" s="48"/>
    </x:row>
    <x:row r="88">
      <x:c r="A88" s="26" t="str">
        <x:v>С экспертом + допуслуги</x:v>
      </x:c>
      <x:c r="B88" s="43" t="n">
        <x:f>CHOOSE($B$3,C88,D88,E88)</x:f>
        <x:v>8800</x:v>
      </x:c>
      <x:c r="C88" s="44" t="n">
        <x:v>12000</x:v>
      </x:c>
      <x:c r="D88" s="44" t="n">
        <x:v>8800</x:v>
      </x:c>
      <x:c r="E88" s="44" t="n">
        <x:v>6500</x:v>
      </x:c>
      <x:c r="F88" s="26" t="str">
        <x:v>Целевой CAC</x:v>
      </x:c>
      <x:c r="G88" s="48"/>
      <x:c r="H88" s="48"/>
    </x:row>
    <x:row r="89">
      <x:c r="A89" s="26" t="str">
        <x:v>Покупки без тарифа</x:v>
      </x:c>
      <x:c r="B89" s="43" t="n">
        <x:f>CHOOSE($B$3,C89,D89,E89)</x:f>
        <x:v>1400</x:v>
      </x:c>
      <x:c r="C89" s="44" t="n">
        <x:v>2500</x:v>
      </x:c>
      <x:c r="D89" s="44" t="n">
        <x:v>1400</x:v>
      </x:c>
      <x:c r="E89" s="44" t="n">
        <x:v>1000</x:v>
      </x:c>
      <x:c r="F89" s="26" t="str">
        <x:v>Целевой CAC</x:v>
      </x:c>
      <x:c r="G89" s="48"/>
      <x:c r="H89" s="48"/>
    </x:row>
    <x:row r="90">
      <x:c r="A90" s="26" t="str">
        <x:v>Сопровождение + дорожная карта</x:v>
      </x:c>
      <x:c r="B90" s="43" t="n">
        <x:f>CHOOSE($B$3,C90,D90,E90)</x:f>
        <x:v>35000</x:v>
      </x:c>
      <x:c r="C90" s="44" t="n">
        <x:v>50000</x:v>
      </x:c>
      <x:c r="D90" s="44" t="n">
        <x:v>35000</x:v>
      </x:c>
      <x:c r="E90" s="44" t="n">
        <x:v>25000</x:v>
      </x:c>
      <x:c r="F90" s="26" t="str">
        <x:v>Целевой CAC</x:v>
      </x:c>
      <x:c r="G90" s="48"/>
      <x:c r="H90" s="48"/>
    </x:row>
    <x:row r="92" ht="24" customHeight="1">
      <x:c r="A92" s="317" t="str">
        <x:v>Параметры доходности инвестора</x:v>
      </x:c>
      <x:c r="B92" s="317"/>
      <x:c r="C92" s="317"/>
      <x:c r="D92" s="317"/>
      <x:c r="E92" s="317"/>
      <x:c r="F92" s="317"/>
      <x:c r="G92" s="317"/>
      <x:c r="H92" s="317"/>
    </x:row>
    <x:row r="93" ht="28" customHeight="1">
      <x:c r="A93" s="322" t="str">
        <x:v>Параметр</x:v>
      </x:c>
      <x:c r="B93" s="322" t="str">
        <x:v>Единица</x:v>
      </x:c>
      <x:c r="C93" s="322" t="str">
        <x:v>Активно</x:v>
      </x:c>
      <x:c r="D93" s="322" t="str">
        <x:v>Консервативный</x:v>
      </x:c>
      <x:c r="E93" s="322" t="str">
        <x:v>Базовый</x:v>
      </x:c>
      <x:c r="F93" s="322" t="str">
        <x:v>Рост</x:v>
      </x:c>
      <x:c r="G93" s="322" t="str">
        <x:v>Статус</x:v>
      </x:c>
      <x:c r="H93" s="322" t="str">
        <x:v>Почему это значение используется</x:v>
      </x:c>
    </x:row>
    <x:row r="94" ht="38" customHeight="1">
      <x:c r="A94" s="26" t="str">
        <x:v>Ставка дисконтирования инвестора</x:v>
      </x:c>
      <x:c r="B94" s="26" t="str">
        <x:v>% годовых</x:v>
      </x:c>
      <x:c r="C94" s="326" t="n">
        <x:f>CHOOSE($B$3,D94,E94,F94)</x:f>
        <x:v>0.3</x:v>
      </x:c>
      <x:c r="D94" s="40" t="n">
        <x:v>0.3</x:v>
      </x:c>
      <x:c r="E94" s="40" t="n">
        <x:v>0.3</x:v>
      </x:c>
      <x:c r="F94" s="40" t="n">
        <x:v>0.3</x:v>
      </x:c>
      <x:c r="G94" s="26" t="str">
        <x:v>К обсуждению</x:v>
      </x:c>
      <x:c r="H94" s="26" t="str">
        <x:v>Базовая требуемая доходность для расчёта NPV; заменить ставкой из term sheet</x:v>
      </x:c>
    </x:row>
  </x:sheetData>
  <x:mergeCells>
    <x:mergeCell ref="A1:H1"/>
    <x:mergeCell ref="A2:H2"/>
    <x:mergeCell ref="A48:H48"/>
    <x:mergeCell ref="A62:H62"/>
    <x:mergeCell ref="A72:H72"/>
    <x:mergeCell ref="A84:H84"/>
    <x:mergeCell ref="A92:H92"/>
  </x:mergeCells>
  <x:dataValidations count="1">
    <x:dataValidation type="whole" operator="between" sqref="B3">
      <x:formula1>1</x:formula1>
      <x:formula2>3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8" hidden="0" customWidth="1"/>
    <x:col min="3" max="3" width="22" hidden="0" customWidth="1"/>
    <x:col min="4" max="4" width="18" hidden="0" customWidth="1"/>
    <x:col min="5" max="5" width="18" hidden="0" customWidth="1"/>
    <x:col min="6" max="6" width="22" hidden="0" customWidth="1"/>
    <x:col min="7" max="7" width="20" hidden="0" customWidth="1"/>
    <x:col min="8" max="8" width="22" hidden="0" customWidth="1"/>
    <x:col min="9" max="9" width="19" hidden="0" customWidth="1"/>
    <x:col min="10" max="10" width="18" hidden="0" customWidth="1"/>
  </x:cols>
  <x:sheetData>
    <x:row r="1" ht="32" customHeight="1">
      <x:c r="A1" s="45" t="str">
        <x:v>Воронка продаж — сколько клиентов нужно для плана выручки</x:v>
      </x:c>
      <x:c r="B1" s="45"/>
      <x:c r="C1" s="45"/>
      <x:c r="D1" s="45"/>
      <x:c r="E1" s="45"/>
      <x:c r="F1" s="45"/>
      <x:c r="G1" s="45"/>
      <x:c r="H1" s="45"/>
      <x:c r="I1" s="45"/>
      <x:c r="J1" s="45"/>
    </x:row>
    <x:row r="2" ht="34" customHeight="1">
      <x:c r="A2" s="7" t="str">
        <x:v>Лист показывает, сколько людей с подтверждённым интересом, оплат и рекламного бюджета нужно для плана выручки. Количество людей и клиентов округляется до целых.</x:v>
      </x:c>
      <x:c r="B2" s="7"/>
      <x:c r="C2" s="7"/>
      <x:c r="D2" s="7"/>
      <x:c r="E2" s="7"/>
      <x:c r="F2" s="7"/>
      <x:c r="G2" s="7"/>
      <x:c r="H2" s="7"/>
      <x:c r="I2" s="7"/>
      <x:c r="J2" s="7"/>
    </x:row>
    <x:row r="3">
      <x:c r="A3" s="48"/>
      <x:c r="B3" s="48"/>
      <x:c r="C3" s="48"/>
      <x:c r="D3" s="48"/>
      <x:c r="E3" s="48"/>
      <x:c r="F3" s="48"/>
      <x:c r="G3" s="48"/>
      <x:c r="H3" s="48"/>
      <x:c r="I3" s="48"/>
      <x:c r="J3" s="48"/>
    </x:row>
    <x:row r="4" ht="28" customHeight="1">
      <x:c r="A4" s="18" t="str">
        <x:v>Месяц</x:v>
      </x:c>
      <x:c r="B4" s="18" t="str">
        <x:v>План выручки</x:v>
      </x:c>
      <x:c r="C4" s="18" t="str">
        <x:v>Потенциальные клиенты</x:v>
      </x:c>
      <x:c r="D4" s="18" t="str">
        <x:v>Из платной рекламы</x:v>
      </x:c>
      <x:c r="E4" s="18" t="str">
        <x:v>Из органики</x:v>
      </x:c>
      <x:c r="F4" s="18" t="str">
        <x:v>От действующих партнёров</x:v>
      </x:c>
      <x:c r="G4" s="18" t="str">
        <x:v>От новых партнёров</x:v>
      </x:c>
      <x:c r="H4" s="18" t="str">
        <x:v>Бюджет платной рекламы</x:v>
      </x:c>
      <x:c r="I4" s="18" t="str">
        <x:v>Новые платящие клиенты</x:v>
      </x:c>
      <x:c r="J4" s="18" t="str">
        <x:v>Расчётный CAC</x:v>
      </x:c>
    </x:row>
    <x:row r="5" ht="46" customHeight="1">
      <x:c r="A5" s="22" t="str">
        <x:v>Период</x:v>
      </x:c>
      <x:c r="B5" s="22" t="str">
        <x:v>Целевая выручка</x:v>
      </x:c>
      <x:c r="C5" s="22" t="str">
        <x:v>Люди с подтверждённым интересом к продукту</x:v>
      </x:c>
      <x:c r="D5" s="22" t="str">
        <x:v>Потенциальные клиенты из оплачиваемых каналов</x:v>
      </x:c>
      <x:c r="E5" s="22" t="str">
        <x:v>Люди из контента, рекомендаций и брендового трафика</x:v>
      </x:c>
      <x:c r="F5" s="22" t="str">
        <x:v>Люди от существующей партнёрской сети</x:v>
      </x:c>
      <x:c r="G5" s="22" t="str">
        <x:v>Люди от новых партнёров</x:v>
      </x:c>
      <x:c r="H5" s="22" t="str">
        <x:v>Стоимость привлечения людей из платной рекламы</x:v>
      </x:c>
      <x:c r="I5" s="22" t="str">
        <x:v>Люди, которые оплатят продукт</x:v>
      </x:c>
      <x:c r="J5" s="22" t="str">
        <x:v>Бюджет платной рекламы на одного нового платящего клиента</x:v>
      </x:c>
    </x:row>
    <x:row r="6">
      <x:c r="A6" s="56" t="n">
        <x:f>Revenue!A6</x:f>
        <x:v>46296</x:v>
      </x:c>
      <x:c r="B6" s="58" t="n">
        <x:f>Revenue!B6</x:f>
        <x:v>4875000</x:v>
      </x:c>
      <x:c r="C6" s="59" t="n">
        <x:f>ROUNDUP(B6/Assumptions!$C$18,0)</x:f>
        <x:v>98</x:v>
      </x:c>
      <x:c r="D6" s="59" t="n">
        <x:f>ROUND(C6*Assumptions!$B$65,0)</x:f>
        <x:v>34</x:v>
      </x:c>
      <x:c r="E6" s="59" t="n">
        <x:f>ROUND(C6*Assumptions!$B$66,0)</x:f>
        <x:v>20</x:v>
      </x:c>
      <x:c r="F6" s="59" t="n">
        <x:f>ROUND(C6*Assumptions!$B$67,0)</x:f>
        <x:v>29</x:v>
      </x:c>
      <x:c r="G6" s="59" t="n">
        <x:f>C6-SUM(D6:F6)</x:f>
        <x:v>15</x:v>
      </x:c>
      <x:c r="H6" s="58" t="n">
        <x:f>D6*Assumptions!$C$20</x:f>
        <x:v>306000</x:v>
      </x:c>
      <x:c r="I6" s="59" t="n">
        <x:f>ROUNDUP(C6*Assumptions!$C$19,0)</x:f>
        <x:v>20</x:v>
      </x:c>
      <x:c r="J6" s="58" t="n">
        <x:f>IF(I6=0,"n.a.",H6/I6)</x:f>
        <x:v>15300</x:v>
      </x:c>
    </x:row>
    <x:row r="7">
      <x:c r="A7" s="56" t="n">
        <x:f>Revenue!A7</x:f>
        <x:v>46327</x:v>
      </x:c>
      <x:c r="B7" s="58" t="n">
        <x:f>Revenue!B7</x:f>
        <x:v>4940000</x:v>
      </x:c>
      <x:c r="C7" s="59" t="n">
        <x:f>ROUNDUP(B7/Assumptions!$C$18,0)</x:f>
        <x:v>99</x:v>
      </x:c>
      <x:c r="D7" s="59" t="n">
        <x:f>ROUND(C7*Assumptions!$B$65,0)</x:f>
        <x:v>35</x:v>
      </x:c>
      <x:c r="E7" s="59" t="n">
        <x:f>ROUND(C7*Assumptions!$B$66,0)</x:f>
        <x:v>20</x:v>
      </x:c>
      <x:c r="F7" s="59" t="n">
        <x:f>ROUND(C7*Assumptions!$B$67,0)</x:f>
        <x:v>30</x:v>
      </x:c>
      <x:c r="G7" s="59" t="n">
        <x:f>C7-SUM(D7:F7)</x:f>
        <x:v>14</x:v>
      </x:c>
      <x:c r="H7" s="58" t="n">
        <x:f>D7*Assumptions!$C$20</x:f>
        <x:v>315000</x:v>
      </x:c>
      <x:c r="I7" s="59" t="n">
        <x:f>ROUNDUP(C7*Assumptions!$C$19,0)</x:f>
        <x:v>20</x:v>
      </x:c>
      <x:c r="J7" s="58" t="n">
        <x:f>IF(I7=0,"n.a.",H7/I7)</x:f>
        <x:v>15750</x:v>
      </x:c>
    </x:row>
    <x:row r="8">
      <x:c r="A8" s="56" t="n">
        <x:f>Revenue!A8</x:f>
        <x:v>46357</x:v>
      </x:c>
      <x:c r="B8" s="58" t="n">
        <x:f>Revenue!B8</x:f>
        <x:v>5005000</x:v>
      </x:c>
      <x:c r="C8" s="59" t="n">
        <x:f>ROUNDUP(B8/Assumptions!$C$18,0)</x:f>
        <x:v>101</x:v>
      </x:c>
      <x:c r="D8" s="59" t="n">
        <x:f>ROUND(C8*Assumptions!$B$65,0)</x:f>
        <x:v>35</x:v>
      </x:c>
      <x:c r="E8" s="59" t="n">
        <x:f>ROUND(C8*Assumptions!$B$66,0)</x:f>
        <x:v>20</x:v>
      </x:c>
      <x:c r="F8" s="59" t="n">
        <x:f>ROUND(C8*Assumptions!$B$67,0)</x:f>
        <x:v>30</x:v>
      </x:c>
      <x:c r="G8" s="59" t="n">
        <x:f>C8-SUM(D8:F8)</x:f>
        <x:v>16</x:v>
      </x:c>
      <x:c r="H8" s="58" t="n">
        <x:f>D8*Assumptions!$C$20</x:f>
        <x:v>315000</x:v>
      </x:c>
      <x:c r="I8" s="59" t="n">
        <x:f>ROUNDUP(C8*Assumptions!$C$19,0)</x:f>
        <x:v>21</x:v>
      </x:c>
      <x:c r="J8" s="58" t="n">
        <x:f>IF(I8=0,"n.a.",H8/I8)</x:f>
        <x:v>15000</x:v>
      </x:c>
    </x:row>
    <x:row r="9">
      <x:c r="A9" s="56" t="n">
        <x:f>Revenue!A9</x:f>
        <x:v>46388</x:v>
      </x:c>
      <x:c r="B9" s="58" t="n">
        <x:f>Revenue!B9</x:f>
        <x:v>5135000</x:v>
      </x:c>
      <x:c r="C9" s="59" t="n">
        <x:f>ROUNDUP(B9/Assumptions!$C$18,0)</x:f>
        <x:v>103</x:v>
      </x:c>
      <x:c r="D9" s="59" t="n">
        <x:f>ROUND(C9*Assumptions!$B$65,0)</x:f>
        <x:v>36</x:v>
      </x:c>
      <x:c r="E9" s="59" t="n">
        <x:f>ROUND(C9*Assumptions!$B$66,0)</x:f>
        <x:v>21</x:v>
      </x:c>
      <x:c r="F9" s="59" t="n">
        <x:f>ROUND(C9*Assumptions!$B$67,0)</x:f>
        <x:v>31</x:v>
      </x:c>
      <x:c r="G9" s="59" t="n">
        <x:f>C9-SUM(D9:F9)</x:f>
        <x:v>15</x:v>
      </x:c>
      <x:c r="H9" s="58" t="n">
        <x:f>D9*Assumptions!$C$20</x:f>
        <x:v>324000</x:v>
      </x:c>
      <x:c r="I9" s="59" t="n">
        <x:f>ROUNDUP(C9*Assumptions!$C$19,0)</x:f>
        <x:v>21</x:v>
      </x:c>
      <x:c r="J9" s="58" t="n">
        <x:f>IF(I9=0,"n.a.",H9/I9)</x:f>
        <x:v>15428.57142857143</x:v>
      </x:c>
    </x:row>
    <x:row r="10">
      <x:c r="A10" s="56" t="n">
        <x:f>Revenue!A10</x:f>
        <x:v>46419</x:v>
      </x:c>
      <x:c r="B10" s="58" t="n">
        <x:f>Revenue!B10</x:f>
        <x:v>5200000</x:v>
      </x:c>
      <x:c r="C10" s="59" t="n">
        <x:f>ROUNDUP(B10/Assumptions!$C$18,0)</x:f>
        <x:v>104</x:v>
      </x:c>
      <x:c r="D10" s="59" t="n">
        <x:f>ROUND(C10*Assumptions!$B$65,0)</x:f>
        <x:v>36</x:v>
      </x:c>
      <x:c r="E10" s="59" t="n">
        <x:f>ROUND(C10*Assumptions!$B$66,0)</x:f>
        <x:v>21</x:v>
      </x:c>
      <x:c r="F10" s="59" t="n">
        <x:f>ROUND(C10*Assumptions!$B$67,0)</x:f>
        <x:v>31</x:v>
      </x:c>
      <x:c r="G10" s="59" t="n">
        <x:f>C10-SUM(D10:F10)</x:f>
        <x:v>16</x:v>
      </x:c>
      <x:c r="H10" s="58" t="n">
        <x:f>D10*Assumptions!$C$20</x:f>
        <x:v>324000</x:v>
      </x:c>
      <x:c r="I10" s="59" t="n">
        <x:f>ROUNDUP(C10*Assumptions!$C$19,0)</x:f>
        <x:v>21</x:v>
      </x:c>
      <x:c r="J10" s="58" t="n">
        <x:f>IF(I10=0,"n.a.",H10/I10)</x:f>
        <x:v>15428.57142857143</x:v>
      </x:c>
    </x:row>
    <x:row r="11">
      <x:c r="A11" s="56" t="n">
        <x:f>Revenue!A11</x:f>
        <x:v>46447</x:v>
      </x:c>
      <x:c r="B11" s="58" t="n">
        <x:f>Revenue!B11</x:f>
        <x:v>5265000</x:v>
      </x:c>
      <x:c r="C11" s="59" t="n">
        <x:f>ROUNDUP(B11/Assumptions!$C$18,0)</x:f>
        <x:v>106</x:v>
      </x:c>
      <x:c r="D11" s="59" t="n">
        <x:f>ROUND(C11*Assumptions!$B$65,0)</x:f>
        <x:v>37</x:v>
      </x:c>
      <x:c r="E11" s="59" t="n">
        <x:f>ROUND(C11*Assumptions!$B$66,0)</x:f>
        <x:v>21</x:v>
      </x:c>
      <x:c r="F11" s="59" t="n">
        <x:f>ROUND(C11*Assumptions!$B$67,0)</x:f>
        <x:v>32</x:v>
      </x:c>
      <x:c r="G11" s="59" t="n">
        <x:f>C11-SUM(D11:F11)</x:f>
        <x:v>16</x:v>
      </x:c>
      <x:c r="H11" s="58" t="n">
        <x:f>D11*Assumptions!$C$20</x:f>
        <x:v>333000</x:v>
      </x:c>
      <x:c r="I11" s="59" t="n">
        <x:f>ROUNDUP(C11*Assumptions!$C$19,0)</x:f>
        <x:v>22</x:v>
      </x:c>
      <x:c r="J11" s="58" t="n">
        <x:f>IF(I11=0,"n.a.",H11/I11)</x:f>
        <x:v>15136.363636363636</x:v>
      </x:c>
    </x:row>
    <x:row r="12">
      <x:c r="A12" s="56" t="n">
        <x:f>Revenue!A12</x:f>
        <x:v>46478</x:v>
      </x:c>
      <x:c r="B12" s="58" t="n">
        <x:f>Revenue!B12</x:f>
        <x:v>5395000</x:v>
      </x:c>
      <x:c r="C12" s="59" t="n">
        <x:f>ROUNDUP(B12/Assumptions!$C$18,0)</x:f>
        <x:v>108</x:v>
      </x:c>
      <x:c r="D12" s="59" t="n">
        <x:f>ROUND(C12*Assumptions!$B$65,0)</x:f>
        <x:v>38</x:v>
      </x:c>
      <x:c r="E12" s="59" t="n">
        <x:f>ROUND(C12*Assumptions!$B$66,0)</x:f>
        <x:v>22</x:v>
      </x:c>
      <x:c r="F12" s="59" t="n">
        <x:f>ROUND(C12*Assumptions!$B$67,0)</x:f>
        <x:v>32</x:v>
      </x:c>
      <x:c r="G12" s="59" t="n">
        <x:f>C12-SUM(D12:F12)</x:f>
        <x:v>16</x:v>
      </x:c>
      <x:c r="H12" s="58" t="n">
        <x:f>D12*Assumptions!$C$20</x:f>
        <x:v>342000</x:v>
      </x:c>
      <x:c r="I12" s="59" t="n">
        <x:f>ROUNDUP(C12*Assumptions!$C$19,0)</x:f>
        <x:v>22</x:v>
      </x:c>
      <x:c r="J12" s="58" t="n">
        <x:f>IF(I12=0,"n.a.",H12/I12)</x:f>
        <x:v>15545.454545454546</x:v>
      </x:c>
    </x:row>
    <x:row r="13">
      <x:c r="A13" s="56" t="n">
        <x:f>Revenue!A13</x:f>
        <x:v>46508</x:v>
      </x:c>
      <x:c r="B13" s="58" t="n">
        <x:f>Revenue!B13</x:f>
        <x:v>5460000</x:v>
      </x:c>
      <x:c r="C13" s="59" t="n">
        <x:f>ROUNDUP(B13/Assumptions!$C$18,0)</x:f>
        <x:v>110</x:v>
      </x:c>
      <x:c r="D13" s="59" t="n">
        <x:f>ROUND(C13*Assumptions!$B$65,0)</x:f>
        <x:v>39</x:v>
      </x:c>
      <x:c r="E13" s="59" t="n">
        <x:f>ROUND(C13*Assumptions!$B$66,0)</x:f>
        <x:v>22</x:v>
      </x:c>
      <x:c r="F13" s="59" t="n">
        <x:f>ROUND(C13*Assumptions!$B$67,0)</x:f>
        <x:v>33</x:v>
      </x:c>
      <x:c r="G13" s="59" t="n">
        <x:f>C13-SUM(D13:F13)</x:f>
        <x:v>16</x:v>
      </x:c>
      <x:c r="H13" s="58" t="n">
        <x:f>D13*Assumptions!$C$20</x:f>
        <x:v>351000</x:v>
      </x:c>
      <x:c r="I13" s="59" t="n">
        <x:f>ROUNDUP(C13*Assumptions!$C$19,0)</x:f>
        <x:v>22</x:v>
      </x:c>
      <x:c r="J13" s="58" t="n">
        <x:f>IF(I13=0,"n.a.",H13/I13)</x:f>
        <x:v>15954.545454545454</x:v>
      </x:c>
    </x:row>
    <x:row r="14">
      <x:c r="A14" s="56" t="n">
        <x:f>Revenue!A14</x:f>
        <x:v>46539</x:v>
      </x:c>
      <x:c r="B14" s="58" t="n">
        <x:f>Revenue!B14</x:f>
        <x:v>5590000</x:v>
      </x:c>
      <x:c r="C14" s="59" t="n">
        <x:f>ROUNDUP(B14/Assumptions!$C$18,0)</x:f>
        <x:v>112</x:v>
      </x:c>
      <x:c r="D14" s="59" t="n">
        <x:f>ROUND(C14*Assumptions!$B$65,0)</x:f>
        <x:v>39</x:v>
      </x:c>
      <x:c r="E14" s="59" t="n">
        <x:f>ROUND(C14*Assumptions!$B$66,0)</x:f>
        <x:v>22</x:v>
      </x:c>
      <x:c r="F14" s="59" t="n">
        <x:f>ROUND(C14*Assumptions!$B$67,0)</x:f>
        <x:v>34</x:v>
      </x:c>
      <x:c r="G14" s="59" t="n">
        <x:f>C14-SUM(D14:F14)</x:f>
        <x:v>17</x:v>
      </x:c>
      <x:c r="H14" s="58" t="n">
        <x:f>D14*Assumptions!$C$20</x:f>
        <x:v>351000</x:v>
      </x:c>
      <x:c r="I14" s="59" t="n">
        <x:f>ROUNDUP(C14*Assumptions!$C$19,0)</x:f>
        <x:v>23</x:v>
      </x:c>
      <x:c r="J14" s="58" t="n">
        <x:f>IF(I14=0,"n.a.",H14/I14)</x:f>
        <x:v>15260.869565217392</x:v>
      </x:c>
    </x:row>
    <x:row r="15">
      <x:c r="A15" s="56" t="n">
        <x:f>Revenue!A15</x:f>
        <x:v>46569</x:v>
      </x:c>
      <x:c r="B15" s="58" t="n">
        <x:f>Revenue!B15</x:f>
        <x:v>5720000</x:v>
      </x:c>
      <x:c r="C15" s="59" t="n">
        <x:f>ROUNDUP(B15/Assumptions!$C$18,0)</x:f>
        <x:v>115</x:v>
      </x:c>
      <x:c r="D15" s="59" t="n">
        <x:f>ROUND(C15*Assumptions!$B$65,0)</x:f>
        <x:v>40</x:v>
      </x:c>
      <x:c r="E15" s="59" t="n">
        <x:f>ROUND(C15*Assumptions!$B$66,0)</x:f>
        <x:v>23</x:v>
      </x:c>
      <x:c r="F15" s="59" t="n">
        <x:f>ROUND(C15*Assumptions!$B$67,0)</x:f>
        <x:v>35</x:v>
      </x:c>
      <x:c r="G15" s="59" t="n">
        <x:f>C15-SUM(D15:F15)</x:f>
        <x:v>17</x:v>
      </x:c>
      <x:c r="H15" s="58" t="n">
        <x:f>D15*Assumptions!$C$20</x:f>
        <x:v>360000</x:v>
      </x:c>
      <x:c r="I15" s="59" t="n">
        <x:f>ROUNDUP(C15*Assumptions!$C$19,0)</x:f>
        <x:v>23</x:v>
      </x:c>
      <x:c r="J15" s="58" t="n">
        <x:f>IF(I15=0,"n.a.",H15/I15)</x:f>
        <x:v>15652.173913043478</x:v>
      </x:c>
    </x:row>
    <x:row r="16">
      <x:c r="A16" s="56" t="n">
        <x:f>Revenue!A16</x:f>
        <x:v>46600</x:v>
      </x:c>
      <x:c r="B16" s="58" t="n">
        <x:f>Revenue!B16</x:f>
        <x:v>6110000</x:v>
      </x:c>
      <x:c r="C16" s="59" t="n">
        <x:f>ROUNDUP(B16/Assumptions!$C$18,0)</x:f>
        <x:v>123</x:v>
      </x:c>
      <x:c r="D16" s="59" t="n">
        <x:f>ROUND(C16*Assumptions!$B$65,0)</x:f>
        <x:v>43</x:v>
      </x:c>
      <x:c r="E16" s="59" t="n">
        <x:f>ROUND(C16*Assumptions!$B$66,0)</x:f>
        <x:v>25</x:v>
      </x:c>
      <x:c r="F16" s="59" t="n">
        <x:f>ROUND(C16*Assumptions!$B$67,0)</x:f>
        <x:v>37</x:v>
      </x:c>
      <x:c r="G16" s="59" t="n">
        <x:f>C16-SUM(D16:F16)</x:f>
        <x:v>18</x:v>
      </x:c>
      <x:c r="H16" s="58" t="n">
        <x:f>D16*Assumptions!$C$20</x:f>
        <x:v>387000</x:v>
      </x:c>
      <x:c r="I16" s="59" t="n">
        <x:f>ROUNDUP(C16*Assumptions!$C$19,0)</x:f>
        <x:v>25</x:v>
      </x:c>
      <x:c r="J16" s="58" t="n">
        <x:f>IF(I16=0,"n.a.",H16/I16)</x:f>
        <x:v>15480</x:v>
      </x:c>
    </x:row>
    <x:row r="17">
      <x:c r="A17" s="56" t="n">
        <x:f>Revenue!A17</x:f>
        <x:v>46631</x:v>
      </x:c>
      <x:c r="B17" s="58" t="n">
        <x:f>Revenue!B17</x:f>
        <x:v>6305000</x:v>
      </x:c>
      <x:c r="C17" s="59" t="n">
        <x:f>ROUNDUP(B17/Assumptions!$C$18,0)</x:f>
        <x:v>127</x:v>
      </x:c>
      <x:c r="D17" s="59" t="n">
        <x:f>ROUND(C17*Assumptions!$B$65,0)</x:f>
        <x:v>44</x:v>
      </x:c>
      <x:c r="E17" s="59" t="n">
        <x:f>ROUND(C17*Assumptions!$B$66,0)</x:f>
        <x:v>25</x:v>
      </x:c>
      <x:c r="F17" s="59" t="n">
        <x:f>ROUND(C17*Assumptions!$B$67,0)</x:f>
        <x:v>38</x:v>
      </x:c>
      <x:c r="G17" s="59" t="n">
        <x:f>C17-SUM(D17:F17)</x:f>
        <x:v>20</x:v>
      </x:c>
      <x:c r="H17" s="58" t="n">
        <x:f>D17*Assumptions!$C$20</x:f>
        <x:v>396000</x:v>
      </x:c>
      <x:c r="I17" s="59" t="n">
        <x:f>ROUNDUP(C17*Assumptions!$C$19,0)</x:f>
        <x:v>26</x:v>
      </x:c>
      <x:c r="J17" s="58" t="n">
        <x:f>IF(I17=0,"n.a.",H17/I17)</x:f>
        <x:v>15230.76923076923</x:v>
      </x:c>
    </x:row>
    <x:row r="18">
      <x:c r="A18" s="56" t="n">
        <x:f>Revenue!A18</x:f>
        <x:v>46661</x:v>
      </x:c>
      <x:c r="B18" s="58" t="n">
        <x:f>Revenue!B18</x:f>
        <x:v>7124999.99999775</x:v>
      </x:c>
      <x:c r="C18" s="59" t="n">
        <x:f>ROUNDUP(B18/Assumptions!$C$18,0)</x:f>
        <x:v>143</x:v>
      </x:c>
      <x:c r="D18" s="59" t="n">
        <x:f>ROUND(C18*Assumptions!$B$65,0)</x:f>
        <x:v>50</x:v>
      </x:c>
      <x:c r="E18" s="59" t="n">
        <x:f>ROUND(C18*Assumptions!$B$66,0)</x:f>
        <x:v>29</x:v>
      </x:c>
      <x:c r="F18" s="59" t="n">
        <x:f>ROUND(C18*Assumptions!$B$67,0)</x:f>
        <x:v>43</x:v>
      </x:c>
      <x:c r="G18" s="59" t="n">
        <x:f>C18-SUM(D18:F18)</x:f>
        <x:v>21</x:v>
      </x:c>
      <x:c r="H18" s="58" t="n">
        <x:f>D18*Assumptions!$C$20</x:f>
        <x:v>450000</x:v>
      </x:c>
      <x:c r="I18" s="59" t="n">
        <x:f>ROUNDUP(C18*Assumptions!$C$19,0)</x:f>
        <x:v>29</x:v>
      </x:c>
      <x:c r="J18" s="58" t="n">
        <x:f>IF(I18=0,"n.a.",H18/I18)</x:f>
        <x:v>15517.241379310344</x:v>
      </x:c>
    </x:row>
    <x:row r="19">
      <x:c r="A19" s="56" t="n">
        <x:f>Revenue!A19</x:f>
        <x:v>46692</x:v>
      </x:c>
      <x:c r="B19" s="58" t="n">
        <x:f>Revenue!B19</x:f>
        <x:v>7219999.99999772</x:v>
      </x:c>
      <x:c r="C19" s="59" t="n">
        <x:f>ROUNDUP(B19/Assumptions!$C$18,0)</x:f>
        <x:v>145</x:v>
      </x:c>
      <x:c r="D19" s="59" t="n">
        <x:f>ROUND(C19*Assumptions!$B$65,0)</x:f>
        <x:v>51</x:v>
      </x:c>
      <x:c r="E19" s="59" t="n">
        <x:f>ROUND(C19*Assumptions!$B$66,0)</x:f>
        <x:v>29</x:v>
      </x:c>
      <x:c r="F19" s="59" t="n">
        <x:f>ROUND(C19*Assumptions!$B$67,0)</x:f>
        <x:v>44</x:v>
      </x:c>
      <x:c r="G19" s="59" t="n">
        <x:f>C19-SUM(D19:F19)</x:f>
        <x:v>21</x:v>
      </x:c>
      <x:c r="H19" s="58" t="n">
        <x:f>D19*Assumptions!$C$20</x:f>
        <x:v>459000</x:v>
      </x:c>
      <x:c r="I19" s="59" t="n">
        <x:f>ROUNDUP(C19*Assumptions!$C$19,0)</x:f>
        <x:v>29</x:v>
      </x:c>
      <x:c r="J19" s="58" t="n">
        <x:f>IF(I19=0,"n.a.",H19/I19)</x:f>
        <x:v>15827.586206896553</x:v>
      </x:c>
    </x:row>
    <x:row r="20">
      <x:c r="A20" s="56" t="n">
        <x:f>Revenue!A20</x:f>
        <x:v>46722</x:v>
      </x:c>
      <x:c r="B20" s="58" t="n">
        <x:f>Revenue!B20</x:f>
        <x:v>7314999.99999769</x:v>
      </x:c>
      <x:c r="C20" s="59" t="n">
        <x:f>ROUNDUP(B20/Assumptions!$C$18,0)</x:f>
        <x:v>147</x:v>
      </x:c>
      <x:c r="D20" s="59" t="n">
        <x:f>ROUND(C20*Assumptions!$B$65,0)</x:f>
        <x:v>51</x:v>
      </x:c>
      <x:c r="E20" s="59" t="n">
        <x:f>ROUND(C20*Assumptions!$B$66,0)</x:f>
        <x:v>29</x:v>
      </x:c>
      <x:c r="F20" s="59" t="n">
        <x:f>ROUND(C20*Assumptions!$B$67,0)</x:f>
        <x:v>44</x:v>
      </x:c>
      <x:c r="G20" s="59" t="n">
        <x:f>C20-SUM(D20:F20)</x:f>
        <x:v>23</x:v>
      </x:c>
      <x:c r="H20" s="58" t="n">
        <x:f>D20*Assumptions!$C$20</x:f>
        <x:v>459000</x:v>
      </x:c>
      <x:c r="I20" s="59" t="n">
        <x:f>ROUNDUP(C20*Assumptions!$C$19,0)</x:f>
        <x:v>30</x:v>
      </x:c>
      <x:c r="J20" s="58" t="n">
        <x:f>IF(I20=0,"n.a.",H20/I20)</x:f>
        <x:v>15300</x:v>
      </x:c>
    </x:row>
    <x:row r="21">
      <x:c r="A21" s="56" t="n">
        <x:f>Revenue!A21</x:f>
        <x:v>46753</x:v>
      </x:c>
      <x:c r="B21" s="58" t="n">
        <x:f>Revenue!B21</x:f>
        <x:v>7504999.999997631</x:v>
      </x:c>
      <x:c r="C21" s="59" t="n">
        <x:f>ROUNDUP(B21/Assumptions!$C$18,0)</x:f>
        <x:v>151</x:v>
      </x:c>
      <x:c r="D21" s="59" t="n">
        <x:f>ROUND(C21*Assumptions!$B$65,0)</x:f>
        <x:v>53</x:v>
      </x:c>
      <x:c r="E21" s="59" t="n">
        <x:f>ROUND(C21*Assumptions!$B$66,0)</x:f>
        <x:v>30</x:v>
      </x:c>
      <x:c r="F21" s="59" t="n">
        <x:f>ROUND(C21*Assumptions!$B$67,0)</x:f>
        <x:v>45</x:v>
      </x:c>
      <x:c r="G21" s="59" t="n">
        <x:f>C21-SUM(D21:F21)</x:f>
        <x:v>23</x:v>
      </x:c>
      <x:c r="H21" s="58" t="n">
        <x:f>D21*Assumptions!$C$20</x:f>
        <x:v>477000</x:v>
      </x:c>
      <x:c r="I21" s="59" t="n">
        <x:f>ROUNDUP(C21*Assumptions!$C$19,0)</x:f>
        <x:v>31</x:v>
      </x:c>
      <x:c r="J21" s="58" t="n">
        <x:f>IF(I21=0,"n.a.",H21/I21)</x:f>
        <x:v>15387.09677419355</x:v>
      </x:c>
    </x:row>
    <x:row r="22">
      <x:c r="A22" s="56" t="n">
        <x:f>Revenue!A22</x:f>
        <x:v>46784</x:v>
      </x:c>
      <x:c r="B22" s="58" t="n">
        <x:f>Revenue!B22</x:f>
        <x:v>7599999.999997601</x:v>
      </x:c>
      <x:c r="C22" s="59" t="n">
        <x:f>ROUNDUP(B22/Assumptions!$C$18,0)</x:f>
        <x:v>152</x:v>
      </x:c>
      <x:c r="D22" s="59" t="n">
        <x:f>ROUND(C22*Assumptions!$B$65,0)</x:f>
        <x:v>53</x:v>
      </x:c>
      <x:c r="E22" s="59" t="n">
        <x:f>ROUND(C22*Assumptions!$B$66,0)</x:f>
        <x:v>30</x:v>
      </x:c>
      <x:c r="F22" s="59" t="n">
        <x:f>ROUND(C22*Assumptions!$B$67,0)</x:f>
        <x:v>46</x:v>
      </x:c>
      <x:c r="G22" s="59" t="n">
        <x:f>C22-SUM(D22:F22)</x:f>
        <x:v>23</x:v>
      </x:c>
      <x:c r="H22" s="58" t="n">
        <x:f>D22*Assumptions!$C$20</x:f>
        <x:v>477000</x:v>
      </x:c>
      <x:c r="I22" s="59" t="n">
        <x:f>ROUNDUP(C22*Assumptions!$C$19,0)</x:f>
        <x:v>31</x:v>
      </x:c>
      <x:c r="J22" s="58" t="n">
        <x:f>IF(I22=0,"n.a.",H22/I22)</x:f>
        <x:v>15387.09677419355</x:v>
      </x:c>
    </x:row>
    <x:row r="23">
      <x:c r="A23" s="56" t="n">
        <x:f>Revenue!A23</x:f>
        <x:v>46813</x:v>
      </x:c>
      <x:c r="B23" s="58" t="n">
        <x:f>Revenue!B23</x:f>
        <x:v>7694999.99999757</x:v>
      </x:c>
      <x:c r="C23" s="59" t="n">
        <x:f>ROUNDUP(B23/Assumptions!$C$18,0)</x:f>
        <x:v>154</x:v>
      </x:c>
      <x:c r="D23" s="59" t="n">
        <x:f>ROUND(C23*Assumptions!$B$65,0)</x:f>
        <x:v>54</x:v>
      </x:c>
      <x:c r="E23" s="59" t="n">
        <x:f>ROUND(C23*Assumptions!$B$66,0)</x:f>
        <x:v>31</x:v>
      </x:c>
      <x:c r="F23" s="59" t="n">
        <x:f>ROUND(C23*Assumptions!$B$67,0)</x:f>
        <x:v>46</x:v>
      </x:c>
      <x:c r="G23" s="59" t="n">
        <x:f>C23-SUM(D23:F23)</x:f>
        <x:v>23</x:v>
      </x:c>
      <x:c r="H23" s="58" t="n">
        <x:f>D23*Assumptions!$C$20</x:f>
        <x:v>486000</x:v>
      </x:c>
      <x:c r="I23" s="59" t="n">
        <x:f>ROUNDUP(C23*Assumptions!$C$19,0)</x:f>
        <x:v>31</x:v>
      </x:c>
      <x:c r="J23" s="58" t="n">
        <x:f>IF(I23=0,"n.a.",H23/I23)</x:f>
        <x:v>15677.41935483871</x:v>
      </x:c>
    </x:row>
    <x:row r="24">
      <x:c r="A24" s="56" t="n">
        <x:f>Revenue!A24</x:f>
        <x:v>46844</x:v>
      </x:c>
      <x:c r="B24" s="58" t="n">
        <x:f>Revenue!B24</x:f>
        <x:v>7884999.999997511</x:v>
      </x:c>
      <x:c r="C24" s="59" t="n">
        <x:f>ROUNDUP(B24/Assumptions!$C$18,0)</x:f>
        <x:v>158</x:v>
      </x:c>
      <x:c r="D24" s="59" t="n">
        <x:f>ROUND(C24*Assumptions!$B$65,0)</x:f>
        <x:v>55</x:v>
      </x:c>
      <x:c r="E24" s="59" t="n">
        <x:f>ROUND(C24*Assumptions!$B$66,0)</x:f>
        <x:v>32</x:v>
      </x:c>
      <x:c r="F24" s="59" t="n">
        <x:f>ROUND(C24*Assumptions!$B$67,0)</x:f>
        <x:v>47</x:v>
      </x:c>
      <x:c r="G24" s="59" t="n">
        <x:f>C24-SUM(D24:F24)</x:f>
        <x:v>24</x:v>
      </x:c>
      <x:c r="H24" s="58" t="n">
        <x:f>D24*Assumptions!$C$20</x:f>
        <x:v>495000</x:v>
      </x:c>
      <x:c r="I24" s="59" t="n">
        <x:f>ROUNDUP(C24*Assumptions!$C$19,0)</x:f>
        <x:v>32</x:v>
      </x:c>
      <x:c r="J24" s="58" t="n">
        <x:f>IF(I24=0,"n.a.",H24/I24)</x:f>
        <x:v>15468.75</x:v>
      </x:c>
    </x:row>
    <x:row r="25">
      <x:c r="A25" s="56" t="n">
        <x:f>Revenue!A25</x:f>
        <x:v>46874</x:v>
      </x:c>
      <x:c r="B25" s="58" t="n">
        <x:f>Revenue!B25</x:f>
        <x:v>7979999.999997481</x:v>
      </x:c>
      <x:c r="C25" s="59" t="n">
        <x:f>ROUNDUP(B25/Assumptions!$C$18,0)</x:f>
        <x:v>160</x:v>
      </x:c>
      <x:c r="D25" s="59" t="n">
        <x:f>ROUND(C25*Assumptions!$B$65,0)</x:f>
        <x:v>56</x:v>
      </x:c>
      <x:c r="E25" s="59" t="n">
        <x:f>ROUND(C25*Assumptions!$B$66,0)</x:f>
        <x:v>32</x:v>
      </x:c>
      <x:c r="F25" s="59" t="n">
        <x:f>ROUND(C25*Assumptions!$B$67,0)</x:f>
        <x:v>48</x:v>
      </x:c>
      <x:c r="G25" s="59" t="n">
        <x:f>C25-SUM(D25:F25)</x:f>
        <x:v>24</x:v>
      </x:c>
      <x:c r="H25" s="58" t="n">
        <x:f>D25*Assumptions!$C$20</x:f>
        <x:v>504000</x:v>
      </x:c>
      <x:c r="I25" s="59" t="n">
        <x:f>ROUNDUP(C25*Assumptions!$C$19,0)</x:f>
        <x:v>32</x:v>
      </x:c>
      <x:c r="J25" s="58" t="n">
        <x:f>IF(I25=0,"n.a.",H25/I25)</x:f>
        <x:v>15750</x:v>
      </x:c>
    </x:row>
    <x:row r="26">
      <x:c r="A26" s="56" t="n">
        <x:f>Revenue!A26</x:f>
        <x:v>46905</x:v>
      </x:c>
      <x:c r="B26" s="58" t="n">
        <x:f>Revenue!B26</x:f>
        <x:v>8169999.999997419</x:v>
      </x:c>
      <x:c r="C26" s="59" t="n">
        <x:f>ROUNDUP(B26/Assumptions!$C$18,0)</x:f>
        <x:v>164</x:v>
      </x:c>
      <x:c r="D26" s="59" t="n">
        <x:f>ROUND(C26*Assumptions!$B$65,0)</x:f>
        <x:v>57</x:v>
      </x:c>
      <x:c r="E26" s="59" t="n">
        <x:f>ROUND(C26*Assumptions!$B$66,0)</x:f>
        <x:v>33</x:v>
      </x:c>
      <x:c r="F26" s="59" t="n">
        <x:f>ROUND(C26*Assumptions!$B$67,0)</x:f>
        <x:v>49</x:v>
      </x:c>
      <x:c r="G26" s="59" t="n">
        <x:f>C26-SUM(D26:F26)</x:f>
        <x:v>25</x:v>
      </x:c>
      <x:c r="H26" s="58" t="n">
        <x:f>D26*Assumptions!$C$20</x:f>
        <x:v>513000</x:v>
      </x:c>
      <x:c r="I26" s="59" t="n">
        <x:f>ROUNDUP(C26*Assumptions!$C$19,0)</x:f>
        <x:v>33</x:v>
      </x:c>
      <x:c r="J26" s="58" t="n">
        <x:f>IF(I26=0,"n.a.",H26/I26)</x:f>
        <x:v>15545.454545454546</x:v>
      </x:c>
    </x:row>
    <x:row r="27">
      <x:c r="A27" s="56" t="n">
        <x:f>Revenue!A27</x:f>
        <x:v>46935</x:v>
      </x:c>
      <x:c r="B27" s="58" t="n">
        <x:f>Revenue!B27</x:f>
        <x:v>8359999.99999736</x:v>
      </x:c>
      <x:c r="C27" s="59" t="n">
        <x:f>ROUNDUP(B27/Assumptions!$C$18,0)</x:f>
        <x:v>168</x:v>
      </x:c>
      <x:c r="D27" s="59" t="n">
        <x:f>ROUND(C27*Assumptions!$B$65,0)</x:f>
        <x:v>59</x:v>
      </x:c>
      <x:c r="E27" s="59" t="n">
        <x:f>ROUND(C27*Assumptions!$B$66,0)</x:f>
        <x:v>34</x:v>
      </x:c>
      <x:c r="F27" s="59" t="n">
        <x:f>ROUND(C27*Assumptions!$B$67,0)</x:f>
        <x:v>50</x:v>
      </x:c>
      <x:c r="G27" s="59" t="n">
        <x:f>C27-SUM(D27:F27)</x:f>
        <x:v>25</x:v>
      </x:c>
      <x:c r="H27" s="58" t="n">
        <x:f>D27*Assumptions!$C$20</x:f>
        <x:v>531000</x:v>
      </x:c>
      <x:c r="I27" s="59" t="n">
        <x:f>ROUNDUP(C27*Assumptions!$C$19,0)</x:f>
        <x:v>34</x:v>
      </x:c>
      <x:c r="J27" s="58" t="n">
        <x:f>IF(I27=0,"n.a.",H27/I27)</x:f>
        <x:v>15617.64705882353</x:v>
      </x:c>
    </x:row>
    <x:row r="28">
      <x:c r="A28" s="56" t="n">
        <x:f>Revenue!A28</x:f>
        <x:v>46966</x:v>
      </x:c>
      <x:c r="B28" s="58" t="n">
        <x:f>Revenue!B28</x:f>
        <x:v>8929999.99999718</x:v>
      </x:c>
      <x:c r="C28" s="59" t="n">
        <x:f>ROUNDUP(B28/Assumptions!$C$18,0)</x:f>
        <x:v>179</x:v>
      </x:c>
      <x:c r="D28" s="59" t="n">
        <x:f>ROUND(C28*Assumptions!$B$65,0)</x:f>
        <x:v>63</x:v>
      </x:c>
      <x:c r="E28" s="59" t="n">
        <x:f>ROUND(C28*Assumptions!$B$66,0)</x:f>
        <x:v>36</x:v>
      </x:c>
      <x:c r="F28" s="59" t="n">
        <x:f>ROUND(C28*Assumptions!$B$67,0)</x:f>
        <x:v>54</x:v>
      </x:c>
      <x:c r="G28" s="59" t="n">
        <x:f>C28-SUM(D28:F28)</x:f>
        <x:v>26</x:v>
      </x:c>
      <x:c r="H28" s="58" t="n">
        <x:f>D28*Assumptions!$C$20</x:f>
        <x:v>567000</x:v>
      </x:c>
      <x:c r="I28" s="59" t="n">
        <x:f>ROUNDUP(C28*Assumptions!$C$19,0)</x:f>
        <x:v>36</x:v>
      </x:c>
      <x:c r="J28" s="58" t="n">
        <x:f>IF(I28=0,"n.a.",H28/I28)</x:f>
        <x:v>15750</x:v>
      </x:c>
    </x:row>
    <x:row r="29">
      <x:c r="A29" s="56" t="n">
        <x:f>Revenue!A29</x:f>
        <x:v>46997</x:v>
      </x:c>
      <x:c r="B29" s="58" t="n">
        <x:f>Revenue!B29</x:f>
        <x:v>9214999.99999709</x:v>
      </x:c>
      <x:c r="C29" s="59" t="n">
        <x:f>ROUNDUP(B29/Assumptions!$C$18,0)</x:f>
        <x:v>185</x:v>
      </x:c>
      <x:c r="D29" s="59" t="n">
        <x:f>ROUND(C29*Assumptions!$B$65,0)</x:f>
        <x:v>65</x:v>
      </x:c>
      <x:c r="E29" s="59" t="n">
        <x:f>ROUND(C29*Assumptions!$B$66,0)</x:f>
        <x:v>37</x:v>
      </x:c>
      <x:c r="F29" s="59" t="n">
        <x:f>ROUND(C29*Assumptions!$B$67,0)</x:f>
        <x:v>56</x:v>
      </x:c>
      <x:c r="G29" s="59" t="n">
        <x:f>C29-SUM(D29:F29)</x:f>
        <x:v>27</x:v>
      </x:c>
      <x:c r="H29" s="58" t="n">
        <x:f>D29*Assumptions!$C$20</x:f>
        <x:v>585000</x:v>
      </x:c>
      <x:c r="I29" s="59" t="n">
        <x:f>ROUNDUP(C29*Assumptions!$C$19,0)</x:f>
        <x:v>37</x:v>
      </x:c>
      <x:c r="J29" s="58" t="n">
        <x:f>IF(I29=0,"n.a.",H29/I29)</x:f>
        <x:v>15810.81081081081</x:v>
      </x:c>
    </x:row>
    <x:row r="30">
      <x:c r="A30" s="56" t="n">
        <x:f>Revenue!A30</x:f>
        <x:v>47027</x:v>
      </x:c>
      <x:c r="B30" s="58" t="n">
        <x:f>Revenue!B30</x:f>
        <x:v>10499999.999994434</x:v>
      </x:c>
      <x:c r="C30" s="59" t="n">
        <x:f>ROUNDUP(B30/Assumptions!$C$18,0)</x:f>
        <x:v>210</x:v>
      </x:c>
      <x:c r="D30" s="59" t="n">
        <x:f>ROUND(C30*Assumptions!$B$65,0)</x:f>
        <x:v>74</x:v>
      </x:c>
      <x:c r="E30" s="59" t="n">
        <x:f>ROUND(C30*Assumptions!$B$66,0)</x:f>
        <x:v>42</x:v>
      </x:c>
      <x:c r="F30" s="59" t="n">
        <x:f>ROUND(C30*Assumptions!$B$67,0)</x:f>
        <x:v>63</x:v>
      </x:c>
      <x:c r="G30" s="59" t="n">
        <x:f>C30-SUM(D30:F30)</x:f>
        <x:v>31</x:v>
      </x:c>
      <x:c r="H30" s="58" t="n">
        <x:f>D30*Assumptions!$C$20</x:f>
        <x:v>666000</x:v>
      </x:c>
      <x:c r="I30" s="59" t="n">
        <x:f>ROUNDUP(C30*Assumptions!$C$19,0)</x:f>
        <x:v>42</x:v>
      </x:c>
      <x:c r="J30" s="58" t="n">
        <x:f>IF(I30=0,"n.a.",H30/I30)</x:f>
        <x:v>15857.142857142857</x:v>
      </x:c>
    </x:row>
    <x:row r="31">
      <x:c r="A31" s="56" t="n">
        <x:f>Revenue!A31</x:f>
        <x:v>47058</x:v>
      </x:c>
      <x:c r="B31" s="58" t="n">
        <x:f>Revenue!B31</x:f>
        <x:v>10639999.99999436</x:v>
      </x:c>
      <x:c r="C31" s="59" t="n">
        <x:f>ROUNDUP(B31/Assumptions!$C$18,0)</x:f>
        <x:v>213</x:v>
      </x:c>
      <x:c r="D31" s="59" t="n">
        <x:f>ROUND(C31*Assumptions!$B$65,0)</x:f>
        <x:v>75</x:v>
      </x:c>
      <x:c r="E31" s="59" t="n">
        <x:f>ROUND(C31*Assumptions!$B$66,0)</x:f>
        <x:v>43</x:v>
      </x:c>
      <x:c r="F31" s="59" t="n">
        <x:f>ROUND(C31*Assumptions!$B$67,0)</x:f>
        <x:v>64</x:v>
      </x:c>
      <x:c r="G31" s="59" t="n">
        <x:f>C31-SUM(D31:F31)</x:f>
        <x:v>31</x:v>
      </x:c>
      <x:c r="H31" s="58" t="n">
        <x:f>D31*Assumptions!$C$20</x:f>
        <x:v>675000</x:v>
      </x:c>
      <x:c r="I31" s="59" t="n">
        <x:f>ROUNDUP(C31*Assumptions!$C$19,0)</x:f>
        <x:v>43</x:v>
      </x:c>
      <x:c r="J31" s="58" t="n">
        <x:f>IF(I31=0,"n.a.",H31/I31)</x:f>
        <x:v>15697.67441860465</x:v>
      </x:c>
    </x:row>
    <x:row r="32">
      <x:c r="A32" s="56" t="n">
        <x:f>Revenue!A32</x:f>
        <x:v>47088</x:v>
      </x:c>
      <x:c r="B32" s="58" t="n">
        <x:f>Revenue!B32</x:f>
        <x:v>10779999.999994285</x:v>
      </x:c>
      <x:c r="C32" s="59" t="n">
        <x:f>ROUNDUP(B32/Assumptions!$C$18,0)</x:f>
        <x:v>216</x:v>
      </x:c>
      <x:c r="D32" s="59" t="n">
        <x:f>ROUND(C32*Assumptions!$B$65,0)</x:f>
        <x:v>76</x:v>
      </x:c>
      <x:c r="E32" s="59" t="n">
        <x:f>ROUND(C32*Assumptions!$B$66,0)</x:f>
        <x:v>43</x:v>
      </x:c>
      <x:c r="F32" s="59" t="n">
        <x:f>ROUND(C32*Assumptions!$B$67,0)</x:f>
        <x:v>65</x:v>
      </x:c>
      <x:c r="G32" s="59" t="n">
        <x:f>C32-SUM(D32:F32)</x:f>
        <x:v>32</x:v>
      </x:c>
      <x:c r="H32" s="58" t="n">
        <x:f>D32*Assumptions!$C$20</x:f>
        <x:v>684000</x:v>
      </x:c>
      <x:c r="I32" s="59" t="n">
        <x:f>ROUNDUP(C32*Assumptions!$C$19,0)</x:f>
        <x:v>44</x:v>
      </x:c>
      <x:c r="J32" s="58" t="n">
        <x:f>IF(I32=0,"n.a.",H32/I32)</x:f>
        <x:v>15545.454545454546</x:v>
      </x:c>
    </x:row>
    <x:row r="33">
      <x:c r="A33" s="56" t="n">
        <x:f>Revenue!A33</x:f>
        <x:v>47119</x:v>
      </x:c>
      <x:c r="B33" s="58" t="n">
        <x:f>Revenue!B33</x:f>
        <x:v>11059999.999994138</x:v>
      </x:c>
      <x:c r="C33" s="59" t="n">
        <x:f>ROUNDUP(B33/Assumptions!$C$18,0)</x:f>
        <x:v>222</x:v>
      </x:c>
      <x:c r="D33" s="59" t="n">
        <x:f>ROUND(C33*Assumptions!$B$65,0)</x:f>
        <x:v>78</x:v>
      </x:c>
      <x:c r="E33" s="59" t="n">
        <x:f>ROUND(C33*Assumptions!$B$66,0)</x:f>
        <x:v>44</x:v>
      </x:c>
      <x:c r="F33" s="59" t="n">
        <x:f>ROUND(C33*Assumptions!$B$67,0)</x:f>
        <x:v>67</x:v>
      </x:c>
      <x:c r="G33" s="59" t="n">
        <x:f>C33-SUM(D33:F33)</x:f>
        <x:v>33</x:v>
      </x:c>
      <x:c r="H33" s="58" t="n">
        <x:f>D33*Assumptions!$C$20</x:f>
        <x:v>702000</x:v>
      </x:c>
      <x:c r="I33" s="59" t="n">
        <x:f>ROUNDUP(C33*Assumptions!$C$19,0)</x:f>
        <x:v>45</x:v>
      </x:c>
      <x:c r="J33" s="58" t="n">
        <x:f>IF(I33=0,"n.a.",H33/I33)</x:f>
        <x:v>15600</x:v>
      </x:c>
    </x:row>
    <x:row r="34">
      <x:c r="A34" s="56" t="n">
        <x:f>Revenue!A34</x:f>
        <x:v>47150</x:v>
      </x:c>
      <x:c r="B34" s="58" t="n">
        <x:f>Revenue!B34</x:f>
        <x:v>11199999.999994064</x:v>
      </x:c>
      <x:c r="C34" s="59" t="n">
        <x:f>ROUNDUP(B34/Assumptions!$C$18,0)</x:f>
        <x:v>224</x:v>
      </x:c>
      <x:c r="D34" s="59" t="n">
        <x:f>ROUND(C34*Assumptions!$B$65,0)</x:f>
        <x:v>78</x:v>
      </x:c>
      <x:c r="E34" s="59" t="n">
        <x:f>ROUND(C34*Assumptions!$B$66,0)</x:f>
        <x:v>45</x:v>
      </x:c>
      <x:c r="F34" s="59" t="n">
        <x:f>ROUND(C34*Assumptions!$B$67,0)</x:f>
        <x:v>67</x:v>
      </x:c>
      <x:c r="G34" s="59" t="n">
        <x:f>C34-SUM(D34:F34)</x:f>
        <x:v>34</x:v>
      </x:c>
      <x:c r="H34" s="58" t="n">
        <x:f>D34*Assumptions!$C$20</x:f>
        <x:v>702000</x:v>
      </x:c>
      <x:c r="I34" s="59" t="n">
        <x:f>ROUNDUP(C34*Assumptions!$C$19,0)</x:f>
        <x:v>45</x:v>
      </x:c>
      <x:c r="J34" s="58" t="n">
        <x:f>IF(I34=0,"n.a.",H34/I34)</x:f>
        <x:v>15600</x:v>
      </x:c>
    </x:row>
    <x:row r="35">
      <x:c r="A35" s="56" t="n">
        <x:f>Revenue!A35</x:f>
        <x:v>47178</x:v>
      </x:c>
      <x:c r="B35" s="58" t="n">
        <x:f>Revenue!B35</x:f>
        <x:v>11339999.99999399</x:v>
      </x:c>
      <x:c r="C35" s="59" t="n">
        <x:f>ROUNDUP(B35/Assumptions!$C$18,0)</x:f>
        <x:v>227</x:v>
      </x:c>
      <x:c r="D35" s="59" t="n">
        <x:f>ROUND(C35*Assumptions!$B$65,0)</x:f>
        <x:v>79</x:v>
      </x:c>
      <x:c r="E35" s="59" t="n">
        <x:f>ROUND(C35*Assumptions!$B$66,0)</x:f>
        <x:v>45</x:v>
      </x:c>
      <x:c r="F35" s="59" t="n">
        <x:f>ROUND(C35*Assumptions!$B$67,0)</x:f>
        <x:v>68</x:v>
      </x:c>
      <x:c r="G35" s="59" t="n">
        <x:f>C35-SUM(D35:F35)</x:f>
        <x:v>35</x:v>
      </x:c>
      <x:c r="H35" s="58" t="n">
        <x:f>D35*Assumptions!$C$20</x:f>
        <x:v>711000</x:v>
      </x:c>
      <x:c r="I35" s="59" t="n">
        <x:f>ROUNDUP(C35*Assumptions!$C$19,0)</x:f>
        <x:v>46</x:v>
      </x:c>
      <x:c r="J35" s="58" t="n">
        <x:f>IF(I35=0,"n.a.",H35/I35)</x:f>
        <x:v>15456.521739130434</x:v>
      </x:c>
    </x:row>
    <x:row r="36">
      <x:c r="A36" s="56" t="n">
        <x:f>Revenue!A36</x:f>
        <x:v>47209</x:v>
      </x:c>
      <x:c r="B36" s="58" t="n">
        <x:f>Revenue!B36</x:f>
        <x:v>11619999.999993842</x:v>
      </x:c>
      <x:c r="C36" s="59" t="n">
        <x:f>ROUNDUP(B36/Assumptions!$C$18,0)</x:f>
        <x:v>233</x:v>
      </x:c>
      <x:c r="D36" s="59" t="n">
        <x:f>ROUND(C36*Assumptions!$B$65,0)</x:f>
        <x:v>82</x:v>
      </x:c>
      <x:c r="E36" s="59" t="n">
        <x:f>ROUND(C36*Assumptions!$B$66,0)</x:f>
        <x:v>47</x:v>
      </x:c>
      <x:c r="F36" s="59" t="n">
        <x:f>ROUND(C36*Assumptions!$B$67,0)</x:f>
        <x:v>70</x:v>
      </x:c>
      <x:c r="G36" s="59" t="n">
        <x:f>C36-SUM(D36:F36)</x:f>
        <x:v>34</x:v>
      </x:c>
      <x:c r="H36" s="58" t="n">
        <x:f>D36*Assumptions!$C$20</x:f>
        <x:v>738000</x:v>
      </x:c>
      <x:c r="I36" s="59" t="n">
        <x:f>ROUNDUP(C36*Assumptions!$C$19,0)</x:f>
        <x:v>47</x:v>
      </x:c>
      <x:c r="J36" s="58" t="n">
        <x:f>IF(I36=0,"n.a.",H36/I36)</x:f>
        <x:v>15702.127659574468</x:v>
      </x:c>
    </x:row>
    <x:row r="37">
      <x:c r="A37" s="56" t="n">
        <x:f>Revenue!A37</x:f>
        <x:v>47239</x:v>
      </x:c>
      <x:c r="B37" s="58" t="n">
        <x:f>Revenue!B37</x:f>
        <x:v>11759999.999993768</x:v>
      </x:c>
      <x:c r="C37" s="59" t="n">
        <x:f>ROUNDUP(B37/Assumptions!$C$18,0)</x:f>
        <x:v>236</x:v>
      </x:c>
      <x:c r="D37" s="59" t="n">
        <x:f>ROUND(C37*Assumptions!$B$65,0)</x:f>
        <x:v>83</x:v>
      </x:c>
      <x:c r="E37" s="59" t="n">
        <x:f>ROUND(C37*Assumptions!$B$66,0)</x:f>
        <x:v>47</x:v>
      </x:c>
      <x:c r="F37" s="59" t="n">
        <x:f>ROUND(C37*Assumptions!$B$67,0)</x:f>
        <x:v>71</x:v>
      </x:c>
      <x:c r="G37" s="59" t="n">
        <x:f>C37-SUM(D37:F37)</x:f>
        <x:v>35</x:v>
      </x:c>
      <x:c r="H37" s="58" t="n">
        <x:f>D37*Assumptions!$C$20</x:f>
        <x:v>747000</x:v>
      </x:c>
      <x:c r="I37" s="59" t="n">
        <x:f>ROUNDUP(C37*Assumptions!$C$19,0)</x:f>
        <x:v>48</x:v>
      </x:c>
      <x:c r="J37" s="58" t="n">
        <x:f>IF(I37=0,"n.a.",H37/I37)</x:f>
        <x:v>15562.5</x:v>
      </x:c>
    </x:row>
    <x:row r="38">
      <x:c r="A38" s="56" t="n">
        <x:f>Revenue!A38</x:f>
        <x:v>47270</x:v>
      </x:c>
      <x:c r="B38" s="58" t="n">
        <x:f>Revenue!B38</x:f>
        <x:v>12039999.999993617</x:v>
      </x:c>
      <x:c r="C38" s="59" t="n">
        <x:f>ROUNDUP(B38/Assumptions!$C$18,0)</x:f>
        <x:v>241</x:v>
      </x:c>
      <x:c r="D38" s="59" t="n">
        <x:f>ROUND(C38*Assumptions!$B$65,0)</x:f>
        <x:v>84</x:v>
      </x:c>
      <x:c r="E38" s="59" t="n">
        <x:f>ROUND(C38*Assumptions!$B$66,0)</x:f>
        <x:v>48</x:v>
      </x:c>
      <x:c r="F38" s="59" t="n">
        <x:f>ROUND(C38*Assumptions!$B$67,0)</x:f>
        <x:v>72</x:v>
      </x:c>
      <x:c r="G38" s="59" t="n">
        <x:f>C38-SUM(D38:F38)</x:f>
        <x:v>37</x:v>
      </x:c>
      <x:c r="H38" s="58" t="n">
        <x:f>D38*Assumptions!$C$20</x:f>
        <x:v>756000</x:v>
      </x:c>
      <x:c r="I38" s="59" t="n">
        <x:f>ROUNDUP(C38*Assumptions!$C$19,0)</x:f>
        <x:v>49</x:v>
      </x:c>
      <x:c r="J38" s="58" t="n">
        <x:f>IF(I38=0,"n.a.",H38/I38)</x:f>
        <x:v>15428.57142857143</x:v>
      </x:c>
    </x:row>
    <x:row r="39">
      <x:c r="A39" s="56" t="n">
        <x:f>Revenue!A39</x:f>
        <x:v>47300</x:v>
      </x:c>
      <x:c r="B39" s="58" t="n">
        <x:f>Revenue!B39</x:f>
        <x:v>12319999.99999347</x:v>
      </x:c>
      <x:c r="C39" s="59" t="n">
        <x:f>ROUNDUP(B39/Assumptions!$C$18,0)</x:f>
        <x:v>247</x:v>
      </x:c>
      <x:c r="D39" s="59" t="n">
        <x:f>ROUND(C39*Assumptions!$B$65,0)</x:f>
        <x:v>86</x:v>
      </x:c>
      <x:c r="E39" s="59" t="n">
        <x:f>ROUND(C39*Assumptions!$B$66,0)</x:f>
        <x:v>49</x:v>
      </x:c>
      <x:c r="F39" s="59" t="n">
        <x:f>ROUND(C39*Assumptions!$B$67,0)</x:f>
        <x:v>74</x:v>
      </x:c>
      <x:c r="G39" s="59" t="n">
        <x:f>C39-SUM(D39:F39)</x:f>
        <x:v>38</x:v>
      </x:c>
      <x:c r="H39" s="58" t="n">
        <x:f>D39*Assumptions!$C$20</x:f>
        <x:v>774000</x:v>
      </x:c>
      <x:c r="I39" s="59" t="n">
        <x:f>ROUNDUP(C39*Assumptions!$C$19,0)</x:f>
        <x:v>50</x:v>
      </x:c>
      <x:c r="J39" s="58" t="n">
        <x:f>IF(I39=0,"n.a.",H39/I39)</x:f>
        <x:v>15480</x:v>
      </x:c>
    </x:row>
    <x:row r="40">
      <x:c r="A40" s="56" t="n">
        <x:f>Revenue!A40</x:f>
        <x:v>47331</x:v>
      </x:c>
      <x:c r="B40" s="58" t="n">
        <x:f>Revenue!B40</x:f>
        <x:v>13159999.999993024</x:v>
      </x:c>
      <x:c r="C40" s="59" t="n">
        <x:f>ROUNDUP(B40/Assumptions!$C$18,0)</x:f>
        <x:v>264</x:v>
      </x:c>
      <x:c r="D40" s="59" t="n">
        <x:f>ROUND(C40*Assumptions!$B$65,0)</x:f>
        <x:v>92</x:v>
      </x:c>
      <x:c r="E40" s="59" t="n">
        <x:f>ROUND(C40*Assumptions!$B$66,0)</x:f>
        <x:v>53</x:v>
      </x:c>
      <x:c r="F40" s="59" t="n">
        <x:f>ROUND(C40*Assumptions!$B$67,0)</x:f>
        <x:v>79</x:v>
      </x:c>
      <x:c r="G40" s="59" t="n">
        <x:f>C40-SUM(D40:F40)</x:f>
        <x:v>40</x:v>
      </x:c>
      <x:c r="H40" s="58" t="n">
        <x:f>D40*Assumptions!$C$20</x:f>
        <x:v>828000</x:v>
      </x:c>
      <x:c r="I40" s="59" t="n">
        <x:f>ROUNDUP(C40*Assumptions!$C$19,0)</x:f>
        <x:v>53</x:v>
      </x:c>
      <x:c r="J40" s="58" t="n">
        <x:f>IF(I40=0,"n.a.",H40/I40)</x:f>
        <x:v>15622.641509433963</x:v>
      </x:c>
    </x:row>
    <x:row r="41">
      <x:c r="A41" s="56" t="n">
        <x:f>Revenue!A41</x:f>
        <x:v>47362</x:v>
      </x:c>
      <x:c r="B41" s="58" t="n">
        <x:f>Revenue!B41</x:f>
        <x:v>13579999.999992803</x:v>
      </x:c>
      <x:c r="C41" s="59" t="n">
        <x:f>ROUNDUP(B41/Assumptions!$C$18,0)</x:f>
        <x:v>272</x:v>
      </x:c>
      <x:c r="D41" s="59" t="n">
        <x:f>ROUND(C41*Assumptions!$B$65,0)</x:f>
        <x:v>95</x:v>
      </x:c>
      <x:c r="E41" s="59" t="n">
        <x:f>ROUND(C41*Assumptions!$B$66,0)</x:f>
        <x:v>54</x:v>
      </x:c>
      <x:c r="F41" s="59" t="n">
        <x:f>ROUND(C41*Assumptions!$B$67,0)</x:f>
        <x:v>82</x:v>
      </x:c>
      <x:c r="G41" s="59" t="n">
        <x:f>C41-SUM(D41:F41)</x:f>
        <x:v>41</x:v>
      </x:c>
      <x:c r="H41" s="58" t="n">
        <x:f>D41*Assumptions!$C$20</x:f>
        <x:v>855000</x:v>
      </x:c>
      <x:c r="I41" s="59" t="n">
        <x:f>ROUNDUP(C41*Assumptions!$C$19,0)</x:f>
        <x:v>55</x:v>
      </x:c>
      <x:c r="J41" s="58" t="n">
        <x:f>IF(I41=0,"n.a.",H41/I41)</x:f>
        <x:v>15545.454545454546</x:v>
      </x:c>
    </x:row>
    <x:row r="42">
      <x:c r="A42" s="56" t="n">
        <x:f>Revenue!A42</x:f>
        <x:v>47392</x:v>
      </x:c>
      <x:c r="B42" s="58" t="n">
        <x:f>Revenue!B42</x:f>
        <x:v>16499999.999995755</x:v>
      </x:c>
      <x:c r="C42" s="59" t="n">
        <x:f>ROUNDUP(B42/Assumptions!$C$18,0)</x:f>
        <x:v>330</x:v>
      </x:c>
      <x:c r="D42" s="59" t="n">
        <x:f>ROUND(C42*Assumptions!$B$65,0)</x:f>
        <x:v>115</x:v>
      </x:c>
      <x:c r="E42" s="59" t="n">
        <x:f>ROUND(C42*Assumptions!$B$66,0)</x:f>
        <x:v>66</x:v>
      </x:c>
      <x:c r="F42" s="59" t="n">
        <x:f>ROUND(C42*Assumptions!$B$67,0)</x:f>
        <x:v>99</x:v>
      </x:c>
      <x:c r="G42" s="59" t="n">
        <x:f>C42-SUM(D42:F42)</x:f>
        <x:v>50</x:v>
      </x:c>
      <x:c r="H42" s="58" t="n">
        <x:f>D42*Assumptions!$C$20</x:f>
        <x:v>1035000</x:v>
      </x:c>
      <x:c r="I42" s="59" t="n">
        <x:f>ROUNDUP(C42*Assumptions!$C$19,0)</x:f>
        <x:v>66</x:v>
      </x:c>
      <x:c r="J42" s="58" t="n">
        <x:f>IF(I42=0,"n.a.",H42/I42)</x:f>
        <x:v>15681.818181818182</x:v>
      </x:c>
    </x:row>
    <x:row r="43">
      <x:c r="A43" s="56" t="n">
        <x:f>Revenue!A43</x:f>
        <x:v>47423</x:v>
      </x:c>
      <x:c r="B43" s="58" t="n">
        <x:f>Revenue!B43</x:f>
        <x:v>16719999.9999957</x:v>
      </x:c>
      <x:c r="C43" s="59" t="n">
        <x:f>ROUNDUP(B43/Assumptions!$C$18,0)</x:f>
        <x:v>335</x:v>
      </x:c>
      <x:c r="D43" s="59" t="n">
        <x:f>ROUND(C43*Assumptions!$B$65,0)</x:f>
        <x:v>117</x:v>
      </x:c>
      <x:c r="E43" s="59" t="n">
        <x:f>ROUND(C43*Assumptions!$B$66,0)</x:f>
        <x:v>67</x:v>
      </x:c>
      <x:c r="F43" s="59" t="n">
        <x:f>ROUND(C43*Assumptions!$B$67,0)</x:f>
        <x:v>101</x:v>
      </x:c>
      <x:c r="G43" s="59" t="n">
        <x:f>C43-SUM(D43:F43)</x:f>
        <x:v>50</x:v>
      </x:c>
      <x:c r="H43" s="58" t="n">
        <x:f>D43*Assumptions!$C$20</x:f>
        <x:v>1053000</x:v>
      </x:c>
      <x:c r="I43" s="59" t="n">
        <x:f>ROUNDUP(C43*Assumptions!$C$19,0)</x:f>
        <x:v>67</x:v>
      </x:c>
      <x:c r="J43" s="58" t="n">
        <x:f>IF(I43=0,"n.a.",H43/I43)</x:f>
        <x:v>15716.41791044776</x:v>
      </x:c>
    </x:row>
    <x:row r="44">
      <x:c r="A44" s="56" t="n">
        <x:f>Revenue!A44</x:f>
        <x:v>47453</x:v>
      </x:c>
      <x:c r="B44" s="58" t="n">
        <x:f>Revenue!B44</x:f>
        <x:v>16939999.99999564</x:v>
      </x:c>
      <x:c r="C44" s="59" t="n">
        <x:f>ROUNDUP(B44/Assumptions!$C$18,0)</x:f>
        <x:v>339</x:v>
      </x:c>
      <x:c r="D44" s="59" t="n">
        <x:f>ROUND(C44*Assumptions!$B$65,0)</x:f>
        <x:v>119</x:v>
      </x:c>
      <x:c r="E44" s="59" t="n">
        <x:f>ROUND(C44*Assumptions!$B$66,0)</x:f>
        <x:v>68</x:v>
      </x:c>
      <x:c r="F44" s="59" t="n">
        <x:f>ROUND(C44*Assumptions!$B$67,0)</x:f>
        <x:v>102</x:v>
      </x:c>
      <x:c r="G44" s="59" t="n">
        <x:f>C44-SUM(D44:F44)</x:f>
        <x:v>50</x:v>
      </x:c>
      <x:c r="H44" s="58" t="n">
        <x:f>D44*Assumptions!$C$20</x:f>
        <x:v>1071000</x:v>
      </x:c>
      <x:c r="I44" s="59" t="n">
        <x:f>ROUNDUP(C44*Assumptions!$C$19,0)</x:f>
        <x:v>68</x:v>
      </x:c>
      <x:c r="J44" s="58" t="n">
        <x:f>IF(I44=0,"n.a.",H44/I44)</x:f>
        <x:v>15750</x:v>
      </x:c>
    </x:row>
    <x:row r="45">
      <x:c r="A45" s="56" t="n">
        <x:f>Revenue!A45</x:f>
        <x:v>47484</x:v>
      </x:c>
      <x:c r="B45" s="58" t="n">
        <x:f>Revenue!B45</x:f>
        <x:v>17379999.99999553</x:v>
      </x:c>
      <x:c r="C45" s="59" t="n">
        <x:f>ROUNDUP(B45/Assumptions!$C$18,0)</x:f>
        <x:v>348</x:v>
      </x:c>
      <x:c r="D45" s="59" t="n">
        <x:f>ROUND(C45*Assumptions!$B$65,0)</x:f>
        <x:v>122</x:v>
      </x:c>
      <x:c r="E45" s="59" t="n">
        <x:f>ROUND(C45*Assumptions!$B$66,0)</x:f>
        <x:v>70</x:v>
      </x:c>
      <x:c r="F45" s="59" t="n">
        <x:f>ROUND(C45*Assumptions!$B$67,0)</x:f>
        <x:v>104</x:v>
      </x:c>
      <x:c r="G45" s="59" t="n">
        <x:f>C45-SUM(D45:F45)</x:f>
        <x:v>52</x:v>
      </x:c>
      <x:c r="H45" s="58" t="n">
        <x:f>D45*Assumptions!$C$20</x:f>
        <x:v>1098000</x:v>
      </x:c>
      <x:c r="I45" s="59" t="n">
        <x:f>ROUNDUP(C45*Assumptions!$C$19,0)</x:f>
        <x:v>70</x:v>
      </x:c>
      <x:c r="J45" s="58" t="n">
        <x:f>IF(I45=0,"n.a.",H45/I45)</x:f>
        <x:v>15685.714285714286</x:v>
      </x:c>
    </x:row>
    <x:row r="46">
      <x:c r="A46" s="56" t="n">
        <x:f>Revenue!A46</x:f>
        <x:v>47515</x:v>
      </x:c>
      <x:c r="B46" s="58" t="n">
        <x:f>Revenue!B46</x:f>
        <x:v>17599999.999995474</x:v>
      </x:c>
      <x:c r="C46" s="59" t="n">
        <x:f>ROUNDUP(B46/Assumptions!$C$18,0)</x:f>
        <x:v>352</x:v>
      </x:c>
      <x:c r="D46" s="59" t="n">
        <x:f>ROUND(C46*Assumptions!$B$65,0)</x:f>
        <x:v>123</x:v>
      </x:c>
      <x:c r="E46" s="59" t="n">
        <x:f>ROUND(C46*Assumptions!$B$66,0)</x:f>
        <x:v>70</x:v>
      </x:c>
      <x:c r="F46" s="59" t="n">
        <x:f>ROUND(C46*Assumptions!$B$67,0)</x:f>
        <x:v>106</x:v>
      </x:c>
      <x:c r="G46" s="59" t="n">
        <x:f>C46-SUM(D46:F46)</x:f>
        <x:v>53</x:v>
      </x:c>
      <x:c r="H46" s="58" t="n">
        <x:f>D46*Assumptions!$C$20</x:f>
        <x:v>1107000</x:v>
      </x:c>
      <x:c r="I46" s="59" t="n">
        <x:f>ROUNDUP(C46*Assumptions!$C$19,0)</x:f>
        <x:v>71</x:v>
      </x:c>
      <x:c r="J46" s="58" t="n">
        <x:f>IF(I46=0,"n.a.",H46/I46)</x:f>
        <x:v>15591.549295774648</x:v>
      </x:c>
    </x:row>
    <x:row r="47">
      <x:c r="A47" s="56" t="n">
        <x:f>Revenue!A47</x:f>
        <x:v>47543</x:v>
      </x:c>
      <x:c r="B47" s="58" t="n">
        <x:f>Revenue!B47</x:f>
        <x:v>17819999.999995418</x:v>
      </x:c>
      <x:c r="C47" s="59" t="n">
        <x:f>ROUNDUP(B47/Assumptions!$C$18,0)</x:f>
        <x:v>357</x:v>
      </x:c>
      <x:c r="D47" s="59" t="n">
        <x:f>ROUND(C47*Assumptions!$B$65,0)</x:f>
        <x:v>125</x:v>
      </x:c>
      <x:c r="E47" s="59" t="n">
        <x:f>ROUND(C47*Assumptions!$B$66,0)</x:f>
        <x:v>71</x:v>
      </x:c>
      <x:c r="F47" s="59" t="n">
        <x:f>ROUND(C47*Assumptions!$B$67,0)</x:f>
        <x:v>107</x:v>
      </x:c>
      <x:c r="G47" s="59" t="n">
        <x:f>C47-SUM(D47:F47)</x:f>
        <x:v>54</x:v>
      </x:c>
      <x:c r="H47" s="58" t="n">
        <x:f>D47*Assumptions!$C$20</x:f>
        <x:v>1125000</x:v>
      </x:c>
      <x:c r="I47" s="59" t="n">
        <x:f>ROUNDUP(C47*Assumptions!$C$19,0)</x:f>
        <x:v>72</x:v>
      </x:c>
      <x:c r="J47" s="58" t="n">
        <x:f>IF(I47=0,"n.a.",H47/I47)</x:f>
        <x:v>15625</x:v>
      </x:c>
    </x:row>
    <x:row r="48">
      <x:c r="A48" s="56" t="n">
        <x:f>Revenue!A48</x:f>
        <x:v>47574</x:v>
      </x:c>
      <x:c r="B48" s="58" t="n">
        <x:f>Revenue!B48</x:f>
        <x:v>18259999.999995302</x:v>
      </x:c>
      <x:c r="C48" s="59" t="n">
        <x:f>ROUNDUP(B48/Assumptions!$C$18,0)</x:f>
        <x:v>366</x:v>
      </x:c>
      <x:c r="D48" s="59" t="n">
        <x:f>ROUND(C48*Assumptions!$B$65,0)</x:f>
        <x:v>128</x:v>
      </x:c>
      <x:c r="E48" s="59" t="n">
        <x:f>ROUND(C48*Assumptions!$B$66,0)</x:f>
        <x:v>73</x:v>
      </x:c>
      <x:c r="F48" s="59" t="n">
        <x:f>ROUND(C48*Assumptions!$B$67,0)</x:f>
        <x:v>110</x:v>
      </x:c>
      <x:c r="G48" s="59" t="n">
        <x:f>C48-SUM(D48:F48)</x:f>
        <x:v>55</x:v>
      </x:c>
      <x:c r="H48" s="58" t="n">
        <x:f>D48*Assumptions!$C$20</x:f>
        <x:v>1152000</x:v>
      </x:c>
      <x:c r="I48" s="59" t="n">
        <x:f>ROUNDUP(C48*Assumptions!$C$19,0)</x:f>
        <x:v>74</x:v>
      </x:c>
      <x:c r="J48" s="58" t="n">
        <x:f>IF(I48=0,"n.a.",H48/I48)</x:f>
        <x:v>15567.567567567568</x:v>
      </x:c>
    </x:row>
    <x:row r="49">
      <x:c r="A49" s="56" t="n">
        <x:f>Revenue!A49</x:f>
        <x:v>47604</x:v>
      </x:c>
      <x:c r="B49" s="58" t="n">
        <x:f>Revenue!B49</x:f>
        <x:v>18479999.999995247</x:v>
      </x:c>
      <x:c r="C49" s="59" t="n">
        <x:f>ROUNDUP(B49/Assumptions!$C$18,0)</x:f>
        <x:v>370</x:v>
      </x:c>
      <x:c r="D49" s="59" t="n">
        <x:f>ROUND(C49*Assumptions!$B$65,0)</x:f>
        <x:v>130</x:v>
      </x:c>
      <x:c r="E49" s="59" t="n">
        <x:f>ROUND(C49*Assumptions!$B$66,0)</x:f>
        <x:v>74</x:v>
      </x:c>
      <x:c r="F49" s="59" t="n">
        <x:f>ROUND(C49*Assumptions!$B$67,0)</x:f>
        <x:v>111</x:v>
      </x:c>
      <x:c r="G49" s="59" t="n">
        <x:f>C49-SUM(D49:F49)</x:f>
        <x:v>55</x:v>
      </x:c>
      <x:c r="H49" s="58" t="n">
        <x:f>D49*Assumptions!$C$20</x:f>
        <x:v>1170000</x:v>
      </x:c>
      <x:c r="I49" s="59" t="n">
        <x:f>ROUNDUP(C49*Assumptions!$C$19,0)</x:f>
        <x:v>74</x:v>
      </x:c>
      <x:c r="J49" s="58" t="n">
        <x:f>IF(I49=0,"n.a.",H49/I49)</x:f>
        <x:v>15810.81081081081</x:v>
      </x:c>
    </x:row>
    <x:row r="50">
      <x:c r="A50" s="56" t="n">
        <x:f>Revenue!A50</x:f>
        <x:v>47635</x:v>
      </x:c>
      <x:c r="B50" s="58" t="n">
        <x:f>Revenue!B50</x:f>
        <x:v>18919999.99999513</x:v>
      </x:c>
      <x:c r="C50" s="59" t="n">
        <x:f>ROUNDUP(B50/Assumptions!$C$18,0)</x:f>
        <x:v>379</x:v>
      </x:c>
      <x:c r="D50" s="59" t="n">
        <x:f>ROUND(C50*Assumptions!$B$65,0)</x:f>
        <x:v>133</x:v>
      </x:c>
      <x:c r="E50" s="59" t="n">
        <x:f>ROUND(C50*Assumptions!$B$66,0)</x:f>
        <x:v>76</x:v>
      </x:c>
      <x:c r="F50" s="59" t="n">
        <x:f>ROUND(C50*Assumptions!$B$67,0)</x:f>
        <x:v>114</x:v>
      </x:c>
      <x:c r="G50" s="59" t="n">
        <x:f>C50-SUM(D50:F50)</x:f>
        <x:v>56</x:v>
      </x:c>
      <x:c r="H50" s="58" t="n">
        <x:f>D50*Assumptions!$C$20</x:f>
        <x:v>1197000</x:v>
      </x:c>
      <x:c r="I50" s="59" t="n">
        <x:f>ROUNDUP(C50*Assumptions!$C$19,0)</x:f>
        <x:v>76</x:v>
      </x:c>
      <x:c r="J50" s="58" t="n">
        <x:f>IF(I50=0,"n.a.",H50/I50)</x:f>
        <x:v>15750</x:v>
      </x:c>
    </x:row>
    <x:row r="51">
      <x:c r="A51" s="56" t="n">
        <x:f>Revenue!A51</x:f>
        <x:v>47665</x:v>
      </x:c>
      <x:c r="B51" s="58" t="n">
        <x:f>Revenue!B51</x:f>
        <x:v>19359999.99999502</x:v>
      </x:c>
      <x:c r="C51" s="59" t="n">
        <x:f>ROUNDUP(B51/Assumptions!$C$18,0)</x:f>
        <x:v>388</x:v>
      </x:c>
      <x:c r="D51" s="59" t="n">
        <x:f>ROUND(C51*Assumptions!$B$65,0)</x:f>
        <x:v>136</x:v>
      </x:c>
      <x:c r="E51" s="59" t="n">
        <x:f>ROUND(C51*Assumptions!$B$66,0)</x:f>
        <x:v>78</x:v>
      </x:c>
      <x:c r="F51" s="59" t="n">
        <x:f>ROUND(C51*Assumptions!$B$67,0)</x:f>
        <x:v>116</x:v>
      </x:c>
      <x:c r="G51" s="59" t="n">
        <x:f>C51-SUM(D51:F51)</x:f>
        <x:v>58</x:v>
      </x:c>
      <x:c r="H51" s="58" t="n">
        <x:f>D51*Assumptions!$C$20</x:f>
        <x:v>1224000</x:v>
      </x:c>
      <x:c r="I51" s="59" t="n">
        <x:f>ROUNDUP(C51*Assumptions!$C$19,0)</x:f>
        <x:v>78</x:v>
      </x:c>
      <x:c r="J51" s="58" t="n">
        <x:f>IF(I51=0,"n.a.",H51/I51)</x:f>
        <x:v>15692.307692307691</x:v>
      </x:c>
    </x:row>
    <x:row r="52">
      <x:c r="A52" s="56" t="n">
        <x:f>Revenue!A52</x:f>
        <x:v>47696</x:v>
      </x:c>
      <x:c r="B52" s="58" t="n">
        <x:f>Revenue!B52</x:f>
        <x:v>20679999.99999468</x:v>
      </x:c>
      <x:c r="C52" s="59" t="n">
        <x:f>ROUNDUP(B52/Assumptions!$C$18,0)</x:f>
        <x:v>414</x:v>
      </x:c>
      <x:c r="D52" s="59" t="n">
        <x:f>ROUND(C52*Assumptions!$B$65,0)</x:f>
        <x:v>145</x:v>
      </x:c>
      <x:c r="E52" s="59" t="n">
        <x:f>ROUND(C52*Assumptions!$B$66,0)</x:f>
        <x:v>83</x:v>
      </x:c>
      <x:c r="F52" s="59" t="n">
        <x:f>ROUND(C52*Assumptions!$B$67,0)</x:f>
        <x:v>124</x:v>
      </x:c>
      <x:c r="G52" s="59" t="n">
        <x:f>C52-SUM(D52:F52)</x:f>
        <x:v>62</x:v>
      </x:c>
      <x:c r="H52" s="58" t="n">
        <x:f>D52*Assumptions!$C$20</x:f>
        <x:v>1305000</x:v>
      </x:c>
      <x:c r="I52" s="59" t="n">
        <x:f>ROUNDUP(C52*Assumptions!$C$19,0)</x:f>
        <x:v>83</x:v>
      </x:c>
      <x:c r="J52" s="58" t="n">
        <x:f>IF(I52=0,"n.a.",H52/I52)</x:f>
        <x:v>15722.89156626506</x:v>
      </x:c>
    </x:row>
    <x:row r="53">
      <x:c r="A53" s="56" t="n">
        <x:f>Revenue!A53</x:f>
        <x:v>47727</x:v>
      </x:c>
      <x:c r="B53" s="58" t="n">
        <x:f>Revenue!B53</x:f>
        <x:v>21339999.999994513</x:v>
      </x:c>
      <x:c r="C53" s="59" t="n">
        <x:f>ROUNDUP(B53/Assumptions!$C$18,0)</x:f>
        <x:v>427</x:v>
      </x:c>
      <x:c r="D53" s="59" t="n">
        <x:f>ROUND(C53*Assumptions!$B$65,0)</x:f>
        <x:v>149</x:v>
      </x:c>
      <x:c r="E53" s="59" t="n">
        <x:f>ROUND(C53*Assumptions!$B$66,0)</x:f>
        <x:v>85</x:v>
      </x:c>
      <x:c r="F53" s="59" t="n">
        <x:f>ROUND(C53*Assumptions!$B$67,0)</x:f>
        <x:v>128</x:v>
      </x:c>
      <x:c r="G53" s="59" t="n">
        <x:f>C53-SUM(D53:F53)</x:f>
        <x:v>65</x:v>
      </x:c>
      <x:c r="H53" s="58" t="n">
        <x:f>D53*Assumptions!$C$20</x:f>
        <x:v>1341000</x:v>
      </x:c>
      <x:c r="I53" s="59" t="n">
        <x:f>ROUNDUP(C53*Assumptions!$C$19,0)</x:f>
        <x:v>86</x:v>
      </x:c>
      <x:c r="J53" s="58" t="n">
        <x:f>IF(I53=0,"n.a.",H53/I53)</x:f>
        <x:v>15593.023255813954</x:v>
      </x:c>
    </x:row>
    <x:row r="54">
      <x:c r="A54" s="56" t="n">
        <x:f>Revenue!A54</x:f>
        <x:v>47757</x:v>
      </x:c>
      <x:c r="B54" s="58" t="n">
        <x:f>Revenue!B54</x:f>
        <x:v>27150000.000000514</x:v>
      </x:c>
      <x:c r="C54" s="59" t="n">
        <x:f>ROUNDUP(B54/Assumptions!$C$18,0)</x:f>
        <x:v>544</x:v>
      </x:c>
      <x:c r="D54" s="59" t="n">
        <x:f>ROUND(C54*Assumptions!$B$65,0)</x:f>
        <x:v>190</x:v>
      </x:c>
      <x:c r="E54" s="59" t="n">
        <x:f>ROUND(C54*Assumptions!$B$66,0)</x:f>
        <x:v>109</x:v>
      </x:c>
      <x:c r="F54" s="59" t="n">
        <x:f>ROUND(C54*Assumptions!$B$67,0)</x:f>
        <x:v>163</x:v>
      </x:c>
      <x:c r="G54" s="59" t="n">
        <x:f>C54-SUM(D54:F54)</x:f>
        <x:v>82</x:v>
      </x:c>
      <x:c r="H54" s="58" t="n">
        <x:f>D54*Assumptions!$C$20</x:f>
        <x:v>1710000</x:v>
      </x:c>
      <x:c r="I54" s="59" t="n">
        <x:f>ROUNDUP(C54*Assumptions!$C$19,0)</x:f>
        <x:v>109</x:v>
      </x:c>
      <x:c r="J54" s="58" t="n">
        <x:f>IF(I54=0,"n.a.",H54/I54)</x:f>
        <x:v>15688.073394495414</x:v>
      </x:c>
    </x:row>
    <x:row r="55">
      <x:c r="A55" s="56" t="n">
        <x:f>Revenue!A55</x:f>
        <x:v>47788</x:v>
      </x:c>
      <x:c r="B55" s="58" t="n">
        <x:f>Revenue!B55</x:f>
        <x:v>27512000.00000052</x:v>
      </x:c>
      <x:c r="C55" s="59" t="n">
        <x:f>ROUNDUP(B55/Assumptions!$C$18,0)</x:f>
        <x:v>551</x:v>
      </x:c>
      <x:c r="D55" s="59" t="n">
        <x:f>ROUND(C55*Assumptions!$B$65,0)</x:f>
        <x:v>193</x:v>
      </x:c>
      <x:c r="E55" s="59" t="n">
        <x:f>ROUND(C55*Assumptions!$B$66,0)</x:f>
        <x:v>110</x:v>
      </x:c>
      <x:c r="F55" s="59" t="n">
        <x:f>ROUND(C55*Assumptions!$B$67,0)</x:f>
        <x:v>165</x:v>
      </x:c>
      <x:c r="G55" s="59" t="n">
        <x:f>C55-SUM(D55:F55)</x:f>
        <x:v>83</x:v>
      </x:c>
      <x:c r="H55" s="58" t="n">
        <x:f>D55*Assumptions!$C$20</x:f>
        <x:v>1737000</x:v>
      </x:c>
      <x:c r="I55" s="59" t="n">
        <x:f>ROUNDUP(C55*Assumptions!$C$19,0)</x:f>
        <x:v>111</x:v>
      </x:c>
      <x:c r="J55" s="58" t="n">
        <x:f>IF(I55=0,"n.a.",H55/I55)</x:f>
        <x:v>15648.648648648648</x:v>
      </x:c>
    </x:row>
    <x:row r="56">
      <x:c r="A56" s="56" t="n">
        <x:f>Revenue!A56</x:f>
        <x:v>47818</x:v>
      </x:c>
      <x:c r="B56" s="58" t="n">
        <x:f>Revenue!B56</x:f>
        <x:v>27874000.00000053</x:v>
      </x:c>
      <x:c r="C56" s="59" t="n">
        <x:f>ROUNDUP(B56/Assumptions!$C$18,0)</x:f>
        <x:v>558</x:v>
      </x:c>
      <x:c r="D56" s="59" t="n">
        <x:f>ROUND(C56*Assumptions!$B$65,0)</x:f>
        <x:v>195</x:v>
      </x:c>
      <x:c r="E56" s="59" t="n">
        <x:f>ROUND(C56*Assumptions!$B$66,0)</x:f>
        <x:v>112</x:v>
      </x:c>
      <x:c r="F56" s="59" t="n">
        <x:f>ROUND(C56*Assumptions!$B$67,0)</x:f>
        <x:v>167</x:v>
      </x:c>
      <x:c r="G56" s="59" t="n">
        <x:f>C56-SUM(D56:F56)</x:f>
        <x:v>84</x:v>
      </x:c>
      <x:c r="H56" s="58" t="n">
        <x:f>D56*Assumptions!$C$20</x:f>
        <x:v>1755000</x:v>
      </x:c>
      <x:c r="I56" s="59" t="n">
        <x:f>ROUNDUP(C56*Assumptions!$C$19,0)</x:f>
        <x:v>112</x:v>
      </x:c>
      <x:c r="J56" s="58" t="n">
        <x:f>IF(I56=0,"n.a.",H56/I56)</x:f>
        <x:v>15669.642857142857</x:v>
      </x:c>
    </x:row>
    <x:row r="57">
      <x:c r="A57" s="56" t="n">
        <x:f>Revenue!A57</x:f>
        <x:v>47849</x:v>
      </x:c>
      <x:c r="B57" s="58" t="n">
        <x:f>Revenue!B57</x:f>
        <x:v>28598000.00000054</x:v>
      </x:c>
      <x:c r="C57" s="59" t="n">
        <x:f>ROUNDUP(B57/Assumptions!$C$18,0)</x:f>
        <x:v>572</x:v>
      </x:c>
      <x:c r="D57" s="59" t="n">
        <x:f>ROUND(C57*Assumptions!$B$65,0)</x:f>
        <x:v>200</x:v>
      </x:c>
      <x:c r="E57" s="59" t="n">
        <x:f>ROUND(C57*Assumptions!$B$66,0)</x:f>
        <x:v>114</x:v>
      </x:c>
      <x:c r="F57" s="59" t="n">
        <x:f>ROUND(C57*Assumptions!$B$67,0)</x:f>
        <x:v>172</x:v>
      </x:c>
      <x:c r="G57" s="59" t="n">
        <x:f>C57-SUM(D57:F57)</x:f>
        <x:v>86</x:v>
      </x:c>
      <x:c r="H57" s="58" t="n">
        <x:f>D57*Assumptions!$C$20</x:f>
        <x:v>1800000</x:v>
      </x:c>
      <x:c r="I57" s="59" t="n">
        <x:f>ROUNDUP(C57*Assumptions!$C$19,0)</x:f>
        <x:v>115</x:v>
      </x:c>
      <x:c r="J57" s="58" t="n">
        <x:f>IF(I57=0,"n.a.",H57/I57)</x:f>
        <x:v>15652.173913043478</x:v>
      </x:c>
    </x:row>
    <x:row r="58">
      <x:c r="A58" s="56" t="n">
        <x:f>Revenue!A58</x:f>
        <x:v>47880</x:v>
      </x:c>
      <x:c r="B58" s="58" t="n">
        <x:f>Revenue!B58</x:f>
        <x:v>28960000.000000548</x:v>
      </x:c>
      <x:c r="C58" s="59" t="n">
        <x:f>ROUNDUP(B58/Assumptions!$C$18,0)</x:f>
        <x:v>580</x:v>
      </x:c>
      <x:c r="D58" s="59" t="n">
        <x:f>ROUND(C58*Assumptions!$B$65,0)</x:f>
        <x:v>203</x:v>
      </x:c>
      <x:c r="E58" s="59" t="n">
        <x:f>ROUND(C58*Assumptions!$B$66,0)</x:f>
        <x:v>116</x:v>
      </x:c>
      <x:c r="F58" s="59" t="n">
        <x:f>ROUND(C58*Assumptions!$B$67,0)</x:f>
        <x:v>174</x:v>
      </x:c>
      <x:c r="G58" s="59" t="n">
        <x:f>C58-SUM(D58:F58)</x:f>
        <x:v>87</x:v>
      </x:c>
      <x:c r="H58" s="58" t="n">
        <x:f>D58*Assumptions!$C$20</x:f>
        <x:v>1827000</x:v>
      </x:c>
      <x:c r="I58" s="59" t="n">
        <x:f>ROUNDUP(C58*Assumptions!$C$19,0)</x:f>
        <x:v>116</x:v>
      </x:c>
      <x:c r="J58" s="58" t="n">
        <x:f>IF(I58=0,"n.a.",H58/I58)</x:f>
        <x:v>15750</x:v>
      </x:c>
    </x:row>
    <x:row r="59">
      <x:c r="A59" s="56" t="n">
        <x:f>Revenue!A59</x:f>
        <x:v>47908</x:v>
      </x:c>
      <x:c r="B59" s="58" t="n">
        <x:f>Revenue!B59</x:f>
        <x:v>29322000.000000555</x:v>
      </x:c>
      <x:c r="C59" s="59" t="n">
        <x:f>ROUNDUP(B59/Assumptions!$C$18,0)</x:f>
        <x:v>587</x:v>
      </x:c>
      <x:c r="D59" s="59" t="n">
        <x:f>ROUND(C59*Assumptions!$B$65,0)</x:f>
        <x:v>205</x:v>
      </x:c>
      <x:c r="E59" s="59" t="n">
        <x:f>ROUND(C59*Assumptions!$B$66,0)</x:f>
        <x:v>117</x:v>
      </x:c>
      <x:c r="F59" s="59" t="n">
        <x:f>ROUND(C59*Assumptions!$B$67,0)</x:f>
        <x:v>176</x:v>
      </x:c>
      <x:c r="G59" s="59" t="n">
        <x:f>C59-SUM(D59:F59)</x:f>
        <x:v>89</x:v>
      </x:c>
      <x:c r="H59" s="58" t="n">
        <x:f>D59*Assumptions!$C$20</x:f>
        <x:v>1845000</x:v>
      </x:c>
      <x:c r="I59" s="59" t="n">
        <x:f>ROUNDUP(C59*Assumptions!$C$19,0)</x:f>
        <x:v>118</x:v>
      </x:c>
      <x:c r="J59" s="58" t="n">
        <x:f>IF(I59=0,"n.a.",H59/I59)</x:f>
        <x:v>15635.593220338984</x:v>
      </x:c>
    </x:row>
    <x:row r="60">
      <x:c r="A60" s="56" t="n">
        <x:f>Revenue!A60</x:f>
        <x:v>47939</x:v>
      </x:c>
      <x:c r="B60" s="58" t="n">
        <x:f>Revenue!B60</x:f>
        <x:v>30046000.00000057</x:v>
      </x:c>
      <x:c r="C60" s="59" t="n">
        <x:f>ROUNDUP(B60/Assumptions!$C$18,0)</x:f>
        <x:v>601</x:v>
      </x:c>
      <x:c r="D60" s="59" t="n">
        <x:f>ROUND(C60*Assumptions!$B$65,0)</x:f>
        <x:v>210</x:v>
      </x:c>
      <x:c r="E60" s="59" t="n">
        <x:f>ROUND(C60*Assumptions!$B$66,0)</x:f>
        <x:v>120</x:v>
      </x:c>
      <x:c r="F60" s="59" t="n">
        <x:f>ROUND(C60*Assumptions!$B$67,0)</x:f>
        <x:v>180</x:v>
      </x:c>
      <x:c r="G60" s="59" t="n">
        <x:f>C60-SUM(D60:F60)</x:f>
        <x:v>91</x:v>
      </x:c>
      <x:c r="H60" s="58" t="n">
        <x:f>D60*Assumptions!$C$20</x:f>
        <x:v>1890000</x:v>
      </x:c>
      <x:c r="I60" s="59" t="n">
        <x:f>ROUNDUP(C60*Assumptions!$C$19,0)</x:f>
        <x:v>121</x:v>
      </x:c>
      <x:c r="J60" s="58" t="n">
        <x:f>IF(I60=0,"n.a.",H60/I60)</x:f>
        <x:v>15619.834710743802</x:v>
      </x:c>
    </x:row>
    <x:row r="61">
      <x:c r="A61" s="56" t="n">
        <x:f>Revenue!A61</x:f>
        <x:v>47969</x:v>
      </x:c>
      <x:c r="B61" s="58" t="n">
        <x:f>Revenue!B61</x:f>
        <x:v>30408000.000000577</x:v>
      </x:c>
      <x:c r="C61" s="59" t="n">
        <x:f>ROUNDUP(B61/Assumptions!$C$18,0)</x:f>
        <x:v>609</x:v>
      </x:c>
      <x:c r="D61" s="59" t="n">
        <x:f>ROUND(C61*Assumptions!$B$65,0)</x:f>
        <x:v>213</x:v>
      </x:c>
      <x:c r="E61" s="59" t="n">
        <x:f>ROUND(C61*Assumptions!$B$66,0)</x:f>
        <x:v>122</x:v>
      </x:c>
      <x:c r="F61" s="59" t="n">
        <x:f>ROUND(C61*Assumptions!$B$67,0)</x:f>
        <x:v>183</x:v>
      </x:c>
      <x:c r="G61" s="59" t="n">
        <x:f>C61-SUM(D61:F61)</x:f>
        <x:v>91</x:v>
      </x:c>
      <x:c r="H61" s="58" t="n">
        <x:f>D61*Assumptions!$C$20</x:f>
        <x:v>1917000</x:v>
      </x:c>
      <x:c r="I61" s="59" t="n">
        <x:f>ROUNDUP(C61*Assumptions!$C$19,0)</x:f>
        <x:v>122</x:v>
      </x:c>
      <x:c r="J61" s="58" t="n">
        <x:f>IF(I61=0,"n.a.",H61/I61)</x:f>
        <x:v>15713.11475409836</x:v>
      </x:c>
    </x:row>
    <x:row r="62">
      <x:c r="A62" s="56" t="n">
        <x:f>Revenue!A62</x:f>
        <x:v>48000</x:v>
      </x:c>
      <x:c r="B62" s="58" t="n">
        <x:f>Revenue!B62</x:f>
        <x:v>31132000.00000059</x:v>
      </x:c>
      <x:c r="C62" s="59" t="n">
        <x:f>ROUNDUP(B62/Assumptions!$C$18,0)</x:f>
        <x:v>623</x:v>
      </x:c>
      <x:c r="D62" s="59" t="n">
        <x:f>ROUND(C62*Assumptions!$B$65,0)</x:f>
        <x:v>218</x:v>
      </x:c>
      <x:c r="E62" s="59" t="n">
        <x:f>ROUND(C62*Assumptions!$B$66,0)</x:f>
        <x:v>125</x:v>
      </x:c>
      <x:c r="F62" s="59" t="n">
        <x:f>ROUND(C62*Assumptions!$B$67,0)</x:f>
        <x:v>187</x:v>
      </x:c>
      <x:c r="G62" s="59" t="n">
        <x:f>C62-SUM(D62:F62)</x:f>
        <x:v>93</x:v>
      </x:c>
      <x:c r="H62" s="58" t="n">
        <x:f>D62*Assumptions!$C$20</x:f>
        <x:v>1962000</x:v>
      </x:c>
      <x:c r="I62" s="59" t="n">
        <x:f>ROUNDUP(C62*Assumptions!$C$19,0)</x:f>
        <x:v>125</x:v>
      </x:c>
      <x:c r="J62" s="58" t="n">
        <x:f>IF(I62=0,"n.a.",H62/I62)</x:f>
        <x:v>15696</x:v>
      </x:c>
    </x:row>
    <x:row r="63">
      <x:c r="A63" s="56" t="n">
        <x:f>Revenue!A63</x:f>
        <x:v>48030</x:v>
      </x:c>
      <x:c r="B63" s="58" t="n">
        <x:f>Revenue!B63</x:f>
        <x:v>31856000.0000006</x:v>
      </x:c>
      <x:c r="C63" s="59" t="n">
        <x:f>ROUNDUP(B63/Assumptions!$C$18,0)</x:f>
        <x:v>638</x:v>
      </x:c>
      <x:c r="D63" s="59" t="n">
        <x:f>ROUND(C63*Assumptions!$B$65,0)</x:f>
        <x:v>223</x:v>
      </x:c>
      <x:c r="E63" s="59" t="n">
        <x:f>ROUND(C63*Assumptions!$B$66,0)</x:f>
        <x:v>128</x:v>
      </x:c>
      <x:c r="F63" s="59" t="n">
        <x:f>ROUND(C63*Assumptions!$B$67,0)</x:f>
        <x:v>191</x:v>
      </x:c>
      <x:c r="G63" s="59" t="n">
        <x:f>C63-SUM(D63:F63)</x:f>
        <x:v>96</x:v>
      </x:c>
      <x:c r="H63" s="58" t="n">
        <x:f>D63*Assumptions!$C$20</x:f>
        <x:v>2007000</x:v>
      </x:c>
      <x:c r="I63" s="59" t="n">
        <x:f>ROUNDUP(C63*Assumptions!$C$19,0)</x:f>
        <x:v>128</x:v>
      </x:c>
      <x:c r="J63" s="58" t="n">
        <x:f>IF(I63=0,"n.a.",H63/I63)</x:f>
        <x:v>15679.6875</x:v>
      </x:c>
    </x:row>
    <x:row r="64">
      <x:c r="A64" s="56" t="n">
        <x:f>Revenue!A64</x:f>
        <x:v>48061</x:v>
      </x:c>
      <x:c r="B64" s="58" t="n">
        <x:f>Revenue!B64</x:f>
        <x:v>34028000.00000064</x:v>
      </x:c>
      <x:c r="C64" s="59" t="n">
        <x:f>ROUNDUP(B64/Assumptions!$C$18,0)</x:f>
        <x:v>681</x:v>
      </x:c>
      <x:c r="D64" s="59" t="n">
        <x:f>ROUND(C64*Assumptions!$B$65,0)</x:f>
        <x:v>238</x:v>
      </x:c>
      <x:c r="E64" s="59" t="n">
        <x:f>ROUND(C64*Assumptions!$B$66,0)</x:f>
        <x:v>136</x:v>
      </x:c>
      <x:c r="F64" s="59" t="n">
        <x:f>ROUND(C64*Assumptions!$B$67,0)</x:f>
        <x:v>204</x:v>
      </x:c>
      <x:c r="G64" s="59" t="n">
        <x:f>C64-SUM(D64:F64)</x:f>
        <x:v>103</x:v>
      </x:c>
      <x:c r="H64" s="58" t="n">
        <x:f>D64*Assumptions!$C$20</x:f>
        <x:v>2142000</x:v>
      </x:c>
      <x:c r="I64" s="59" t="n">
        <x:f>ROUNDUP(C64*Assumptions!$C$19,0)</x:f>
        <x:v>137</x:v>
      </x:c>
      <x:c r="J64" s="58" t="n">
        <x:f>IF(I64=0,"n.a.",H64/I64)</x:f>
        <x:v>15635.036496350365</x:v>
      </x:c>
    </x:row>
    <x:row r="65">
      <x:c r="A65" s="56" t="n">
        <x:f>Revenue!A65</x:f>
        <x:v>48092</x:v>
      </x:c>
      <x:c r="B65" s="58" t="n">
        <x:f>Revenue!B65</x:f>
        <x:v>35114000.00000066</x:v>
      </x:c>
      <x:c r="C65" s="59" t="n">
        <x:f>ROUNDUP(B65/Assumptions!$C$18,0)</x:f>
        <x:v>703</x:v>
      </x:c>
      <x:c r="D65" s="59" t="n">
        <x:f>ROUND(C65*Assumptions!$B$65,0)</x:f>
        <x:v>246</x:v>
      </x:c>
      <x:c r="E65" s="59" t="n">
        <x:f>ROUND(C65*Assumptions!$B$66,0)</x:f>
        <x:v>141</x:v>
      </x:c>
      <x:c r="F65" s="59" t="n">
        <x:f>ROUND(C65*Assumptions!$B$67,0)</x:f>
        <x:v>211</x:v>
      </x:c>
      <x:c r="G65" s="59" t="n">
        <x:f>C65-SUM(D65:F65)</x:f>
        <x:v>105</x:v>
      </x:c>
      <x:c r="H65" s="58" t="n">
        <x:f>D65*Assumptions!$C$20</x:f>
        <x:v>2214000</x:v>
      </x:c>
      <x:c r="I65" s="59" t="n">
        <x:f>ROUNDUP(C65*Assumptions!$C$19,0)</x:f>
        <x:v>141</x:v>
      </x:c>
      <x:c r="J65" s="58" t="n">
        <x:f>IF(I65=0,"n.a.",H65/I65)</x:f>
        <x:v>15702.127659574468</x:v>
      </x:c>
    </x:row>
    <x:row r="66">
      <x:c r="A66" s="48"/>
      <x:c r="B66" s="48"/>
      <x:c r="C66" s="48"/>
      <x:c r="D66" s="48"/>
      <x:c r="E66" s="48"/>
      <x:c r="F66" s="48"/>
      <x:c r="G66" s="48"/>
      <x:c r="H66" s="48"/>
      <x:c r="I66" s="48"/>
      <x:c r="J66" s="48"/>
    </x:row>
    <x:row r="67">
      <x:c r="A67" s="48"/>
      <x:c r="B67" s="48"/>
      <x:c r="C67" s="48"/>
      <x:c r="D67" s="48"/>
      <x:c r="E67" s="48"/>
      <x:c r="F67" s="48"/>
      <x:c r="G67" s="48"/>
      <x:c r="H67" s="48"/>
      <x:c r="I67" s="48"/>
      <x:c r="J67" s="48"/>
    </x:row>
    <x:row r="68" ht="24" customHeight="1">
      <x:c r="A68" s="37" t="str">
        <x:v>Годовые итоги воронки</x:v>
      </x:c>
      <x:c r="B68" s="37"/>
      <x:c r="C68" s="37"/>
      <x:c r="D68" s="37"/>
      <x:c r="E68" s="37"/>
      <x:c r="F68" s="37"/>
      <x:c r="G68" s="37"/>
      <x:c r="H68" s="37"/>
      <x:c r="I68" s="37"/>
      <x:c r="J68" s="37"/>
    </x:row>
    <x:row r="69" ht="28" customHeight="1">
      <x:c r="A69" s="18" t="str">
        <x:v>Год</x:v>
      </x:c>
      <x:c r="B69" s="18" t="str">
        <x:v>Выручка</x:v>
      </x:c>
      <x:c r="C69" s="18" t="str">
        <x:v>Потенциальные клиенты</x:v>
      </x:c>
      <x:c r="D69" s="18" t="str">
        <x:v>Новые платящие клиенты</x:v>
      </x:c>
      <x:c r="E69" s="18" t="str">
        <x:v>Бюджет платной рекламы</x:v>
      </x:c>
      <x:c r="F69" s="18" t="str">
        <x:v>Средний расчётный CAC</x:v>
      </x:c>
      <x:c r="G69" s="18" t="str">
        <x:v>Люди из платной рекламы</x:v>
      </x:c>
      <x:c r="H69" s="48"/>
      <x:c r="I69" s="48"/>
      <x:c r="J69" s="48"/>
    </x:row>
    <x:row r="70" ht="46" customHeight="1">
      <x:c r="A70" s="22" t="str">
        <x:v>Номер года модели</x:v>
      </x:c>
      <x:c r="B70" s="22" t="str">
        <x:v>План за 12 месяцев</x:v>
      </x:c>
      <x:c r="C70" s="22" t="str">
        <x:v>Люди с подтверждённым интересом</x:v>
      </x:c>
      <x:c r="D70" s="22" t="str">
        <x:v>Клиенты, которые оплатили</x:v>
      </x:c>
      <x:c r="E70" s="22" t="str">
        <x:v>Сумма рекламного бюджета</x:v>
      </x:c>
      <x:c r="F70" s="22" t="str">
        <x:v>Бюджет рекламы / все новые платящие клиенты</x:v>
      </x:c>
      <x:c r="G70" s="22" t="str">
        <x:v>Люди, привлечённые платными каналами</x:v>
      </x:c>
      <x:c r="H70" s="48"/>
      <x:c r="I70" s="48"/>
      <x:c r="J70" s="48"/>
    </x:row>
    <x:row r="71">
      <x:c r="A71" s="57" t="str">
        <x:v>Год 1</x:v>
      </x:c>
      <x:c r="B71" s="58" t="n">
        <x:f>SUM(B6:B17)</x:f>
        <x:v>65000000</x:v>
      </x:c>
      <x:c r="C71" s="59" t="n">
        <x:f>SUM(C6:C17)</x:f>
        <x:v>1306</x:v>
      </x:c>
      <x:c r="D71" s="59" t="n">
        <x:f>SUM(I6:I17)</x:f>
        <x:v>266</x:v>
      </x:c>
      <x:c r="E71" s="58" t="n">
        <x:f>SUM(H6:H17)</x:f>
        <x:v>4104000</x:v>
      </x:c>
      <x:c r="F71" s="58" t="n">
        <x:f>IF(D71=0,"n.a.",E71/D71)</x:f>
        <x:v>15428.57142857143</x:v>
      </x:c>
      <x:c r="G71" s="59" t="n">
        <x:f>SUM(D6:D17)</x:f>
        <x:v>456</x:v>
      </x:c>
      <x:c r="H71" s="48"/>
      <x:c r="I71" s="48"/>
      <x:c r="J71" s="48"/>
    </x:row>
    <x:row r="72">
      <x:c r="A72" s="57" t="str">
        <x:v>Год 2</x:v>
      </x:c>
      <x:c r="B72" s="58" t="n">
        <x:f>SUM(B18:B29)</x:f>
        <x:v>94999999.99997002</x:v>
      </x:c>
      <x:c r="C72" s="59" t="n">
        <x:f>SUM(C18:C29)</x:f>
        <x:v>1906</x:v>
      </x:c>
      <x:c r="D72" s="59" t="n">
        <x:f>SUM(I18:I29)</x:f>
        <x:v>385</x:v>
      </x:c>
      <x:c r="E72" s="58" t="n">
        <x:f>SUM(H18:H29)</x:f>
        <x:v>6003000</x:v>
      </x:c>
      <x:c r="F72" s="58" t="n">
        <x:f>IF(D72=0,"n.a.",E72/D72)</x:f>
        <x:v>15592.207792207791</x:v>
      </x:c>
      <x:c r="G72" s="59" t="n">
        <x:f>SUM(D18:D29)</x:f>
        <x:v>667</x:v>
      </x:c>
      <x:c r="H72" s="48"/>
      <x:c r="I72" s="48"/>
      <x:c r="J72" s="48"/>
    </x:row>
    <x:row r="73">
      <x:c r="A73" s="57" t="str">
        <x:v>Год 3</x:v>
      </x:c>
      <x:c r="B73" s="58" t="n">
        <x:f>SUM(B30:B41)</x:f>
        <x:v>139999999.9999258</x:v>
      </x:c>
      <x:c r="C73" s="59" t="n">
        <x:f>SUM(C30:C41)</x:f>
        <x:v>2805</x:v>
      </x:c>
      <x:c r="D73" s="59" t="n">
        <x:f>SUM(I30:I41)</x:f>
        <x:v>567</x:v>
      </x:c>
      <x:c r="E73" s="58" t="n">
        <x:f>SUM(H30:H41)</x:f>
        <x:v>8838000</x:v>
      </x:c>
      <x:c r="F73" s="58" t="n">
        <x:f>IF(D73=0,"n.a.",E73/D73)</x:f>
        <x:v>15587.301587301587</x:v>
      </x:c>
      <x:c r="G73" s="59" t="n">
        <x:f>SUM(D30:D41)</x:f>
        <x:v>982</x:v>
      </x:c>
      <x:c r="H73" s="48"/>
      <x:c r="I73" s="48"/>
      <x:c r="J73" s="48"/>
    </x:row>
    <x:row r="74">
      <x:c r="A74" s="57" t="str">
        <x:v>Год 4</x:v>
      </x:c>
      <x:c r="B74" s="58" t="n">
        <x:f>SUM(B42:B53)</x:f>
        <x:v>219999999.99994344</x:v>
      </x:c>
      <x:c r="C74" s="59" t="n">
        <x:f>SUM(C42:C53)</x:f>
        <x:v>4405</x:v>
      </x:c>
      <x:c r="D74" s="59" t="n">
        <x:f>SUM(I42:I53)</x:f>
        <x:v>885</x:v>
      </x:c>
      <x:c r="E74" s="58" t="n">
        <x:f>SUM(H42:H53)</x:f>
        <x:v>13878000</x:v>
      </x:c>
      <x:c r="F74" s="58" t="n">
        <x:f>IF(D74=0,"n.a.",E74/D74)</x:f>
        <x:v>15681.35593220339</x:v>
      </x:c>
      <x:c r="G74" s="59" t="n">
        <x:f>SUM(D42:D53)</x:f>
        <x:v>1542</x:v>
      </x:c>
      <x:c r="H74" s="48"/>
      <x:c r="I74" s="48"/>
      <x:c r="J74" s="48"/>
    </x:row>
    <x:row r="75">
      <x:c r="A75" s="57" t="str">
        <x:v>Год 5</x:v>
      </x:c>
      <x:c r="B75" s="58" t="n">
        <x:f>SUM(B54:B65)</x:f>
        <x:v>362000000.00000685</x:v>
      </x:c>
      <x:c r="C75" s="59" t="n">
        <x:f>SUM(C54:C65)</x:f>
        <x:v>7247</x:v>
      </x:c>
      <x:c r="D75" s="59" t="n">
        <x:f>SUM(I54:I65)</x:f>
        <x:v>1455</x:v>
      </x:c>
      <x:c r="E75" s="58" t="n">
        <x:f>SUM(H54:H65)</x:f>
        <x:v>22806000</x:v>
      </x:c>
      <x:c r="F75" s="58" t="n">
        <x:f>IF(D75=0,"n.a.",E75/D75)</x:f>
        <x:v>15674.226804123711</x:v>
      </x:c>
      <x:c r="G75" s="59" t="n">
        <x:f>SUM(D54:D65)</x:f>
        <x:v>2534</x:v>
      </x:c>
      <x:c r="H75" s="48"/>
      <x:c r="I75" s="48"/>
      <x:c r="J75" s="48"/>
    </x:row>
    <x:row r="76">
      <x:c r="A76" s="48"/>
      <x:c r="B76" s="48"/>
      <x:c r="C76" s="48"/>
      <x:c r="D76" s="48"/>
      <x:c r="E76" s="48"/>
      <x:c r="F76" s="48"/>
      <x:c r="G76" s="48"/>
      <x:c r="H76" s="48"/>
      <x:c r="I76" s="48"/>
      <x:c r="J76" s="48"/>
    </x:row>
    <x:row r="77">
      <x:c r="A77" s="48"/>
      <x:c r="B77" s="48"/>
      <x:c r="C77" s="48"/>
      <x:c r="D77" s="48"/>
      <x:c r="E77" s="48"/>
      <x:c r="F77" s="48"/>
      <x:c r="G77" s="48"/>
      <x:c r="H77" s="48"/>
      <x:c r="I77" s="48"/>
      <x:c r="J77" s="48"/>
    </x:row>
    <x:row r="78" ht="24" customHeight="1">
      <x:c r="A78" s="37" t="str">
        <x:v>Четыре малые и две большие клиентские когорты — год 1</x:v>
      </x:c>
      <x:c r="B78" s="37"/>
      <x:c r="C78" s="37"/>
      <x:c r="D78" s="37"/>
      <x:c r="E78" s="37"/>
      <x:c r="F78" s="37"/>
      <x:c r="G78" s="37"/>
      <x:c r="H78" s="37"/>
      <x:c r="I78" s="37"/>
      <x:c r="J78" s="37"/>
    </x:row>
    <x:row r="79" ht="28" customHeight="1">
      <x:c r="A79" s="18" t="str">
        <x:v>Когорта</x:v>
      </x:c>
      <x:c r="B79" s="18" t="str">
        <x:v>Уникальные клиенты</x:v>
      </x:c>
      <x:c r="C79" s="18" t="str">
        <x:v>Доля клиентов</x:v>
      </x:c>
      <x:c r="D79" s="18" t="str">
        <x:v>Выручка</x:v>
      </x:c>
      <x:c r="E79" s="18" t="str">
        <x:v>Выручка на клиента</x:v>
      </x:c>
      <x:c r="F79" s="18" t="str">
        <x:v>CAC</x:v>
      </x:c>
      <x:c r="G79" s="18" t="str">
        <x:v>LTV</x:v>
      </x:c>
      <x:c r="H79" s="18" t="str">
        <x:v>LTV / CAC</x:v>
      </x:c>
      <x:c r="I79" s="48"/>
      <x:c r="J79" s="48"/>
    </x:row>
    <x:row r="80" ht="46" customHeight="1">
      <x:c r="A80" s="22" t="str">
        <x:v>Группа клиентов</x:v>
      </x:c>
      <x:c r="B80" s="22" t="str">
        <x:v>Целое число уникальных клиентов</x:v>
      </x:c>
      <x:c r="C80" s="22" t="str">
        <x:v>Доля в общем числе клиентов</x:v>
      </x:c>
      <x:c r="D80" s="22" t="str">
        <x:v>Выручка когорты</x:v>
      </x:c>
      <x:c r="E80" s="22" t="str">
        <x:v>Средняя выручка на клиента</x:v>
      </x:c>
      <x:c r="F80" s="22" t="str">
        <x:v>Стоимость первого привлечения</x:v>
      </x:c>
      <x:c r="G80" s="22" t="str">
        <x:v>Валовая прибыль на клиента</x:v>
      </x:c>
      <x:c r="H80" s="22" t="str">
        <x:v>Соотношение LTV и CAC</x:v>
      </x:c>
      <x:c r="I80" s="48"/>
      <x:c r="J80" s="48"/>
    </x:row>
    <x:row r="81">
      <x:c r="A81" s="57" t="str">
        <x:f>Cohorts!A21</x:f>
        <x:v>Light + допуслуги</x:v>
      </x:c>
      <x:c r="B81" s="59" t="n">
        <x:f>Cohorts!H21</x:f>
        <x:v>1642</x:v>
      </x:c>
      <x:c r="C81" s="60" t="n">
        <x:f>B81/Cohorts!$H$32</x:f>
        <x:v>0.705932932072227</x:v>
      </x:c>
      <x:c r="D81" s="58" t="n">
        <x:f>Cohorts!I21</x:f>
        <x:v>14667391.304347826</x:v>
      </x:c>
      <x:c r="E81" s="58" t="n">
        <x:f>Cohorts!B21</x:f>
        <x:v>8932.637822379918</x:v>
      </x:c>
      <x:c r="F81" s="58" t="n">
        <x:f>Cohorts!E21</x:f>
        <x:v>2300</x:v>
      </x:c>
      <x:c r="G81" s="58" t="n">
        <x:f>Cohorts!D21</x:f>
        <x:v>7294.557273738284</x:v>
      </x:c>
      <x:c r="H81" s="107" t="n">
        <x:f>Cohorts!F21</x:f>
        <x:v>3.1715466407557753</x:v>
      </x:c>
      <x:c r="I81" s="48"/>
      <x:c r="J81" s="48"/>
    </x:row>
    <x:row r="82">
      <x:c r="A82" s="57" t="str">
        <x:f>Cohorts!A22</x:f>
        <x:v>С экспертом + допуслуги</x:v>
      </x:c>
      <x:c r="B82" s="59" t="n">
        <x:f>Cohorts!H22</x:f>
        <x:v>116</x:v>
      </x:c>
      <x:c r="C82" s="60" t="n">
        <x:f>B82/Cohorts!$H$32</x:f>
        <x:v>0.04987102321582115</x:v>
      </x:c>
      <x:c r="D82" s="58" t="n">
        <x:f>Cohorts!I22</x:f>
        <x:v>8732608.695652174</x:v>
      </x:c>
      <x:c r="E82" s="58" t="n">
        <x:f>Cohorts!B22</x:f>
        <x:v>75281.10944527735</x:v>
      </x:c>
      <x:c r="F82" s="58" t="n">
        <x:f>Cohorts!E22</x:f>
        <x:v>8800</x:v>
      </x:c>
      <x:c r="G82" s="58" t="n">
        <x:f>Cohorts!D22</x:f>
        <x:v>44675.31859070465</x:v>
      </x:c>
      <x:c r="H82" s="107" t="n">
        <x:f>Cohorts!F22</x:f>
        <x:v>5.076740748943711</x:v>
      </x:c>
      <x:c r="I82" s="48"/>
      <x:c r="J82" s="48"/>
    </x:row>
    <x:row r="83">
      <x:c r="A83" s="57" t="str">
        <x:f>Cohorts!A23</x:f>
        <x:v>Покупки без тарифа</x:v>
      </x:c>
      <x:c r="B83" s="59" t="n">
        <x:f>Cohorts!H23</x:f>
        <x:v>531</x:v>
      </x:c>
      <x:c r="C83" s="60" t="n">
        <x:f>B83/Cohorts!$H$32</x:f>
        <x:v>0.22828890799656062</x:v>
      </x:c>
      <x:c r="D83" s="58" t="n">
        <x:f>Cohorts!I23</x:f>
        <x:v>2600000</x:v>
      </x:c>
      <x:c r="E83" s="58" t="n">
        <x:f>Cohorts!B23</x:f>
        <x:v>4896.421845574388</x:v>
      </x:c>
      <x:c r="F83" s="58" t="n">
        <x:f>Cohorts!E23</x:f>
        <x:v>1400</x:v>
      </x:c>
      <x:c r="G83" s="58" t="n">
        <x:f>Cohorts!D23</x:f>
        <x:v>3305.084745762712</x:v>
      </x:c>
      <x:c r="H83" s="107" t="n">
        <x:f>Cohorts!F23</x:f>
        <x:v>2.360774818401937</x:v>
      </x:c>
      <x:c r="I83" s="48"/>
      <x:c r="J83" s="48"/>
    </x:row>
    <x:row r="84">
      <x:c r="A84" s="57" t="str">
        <x:f>Cohorts!A24</x:f>
        <x:v>Сопровождение + дорожная карта</x:v>
      </x:c>
      <x:c r="B84" s="59" t="n">
        <x:f>Cohorts!H24</x:f>
        <x:v>37</x:v>
      </x:c>
      <x:c r="C84" s="60" t="n">
        <x:f>B84/Cohorts!$H$32</x:f>
        <x:v>0.01590713671539123</x:v>
      </x:c>
      <x:c r="D84" s="58" t="n">
        <x:f>Cohorts!I24</x:f>
        <x:v>35750000</x:v>
      </x:c>
      <x:c r="E84" s="58" t="n">
        <x:f>Cohorts!B24</x:f>
        <x:v>966216.2162162162</x:v>
      </x:c>
      <x:c r="F84" s="58" t="n">
        <x:f>Cohorts!E24</x:f>
        <x:v>35000</x:v>
      </x:c>
      <x:c r="G84" s="58" t="n">
        <x:f>Cohorts!D24</x:f>
        <x:v>628040.5405405406</x:v>
      </x:c>
      <x:c r="H84" s="107" t="n">
        <x:f>Cohorts!F24</x:f>
        <x:v>17.944015444015445</x:v>
      </x:c>
      <x:c r="I84" s="48"/>
      <x:c r="J84" s="48"/>
    </x:row>
    <x:row r="85">
      <x:c r="A85" s="99" t="str">
        <x:f>Cohorts!A29</x:f>
        <x:v>Самостоятельный ремонт</x:v>
      </x:c>
      <x:c r="B85" s="101" t="n">
        <x:f>Cohorts!H29</x:f>
        <x:v>2289</x:v>
      </x:c>
      <x:c r="C85" s="103" t="n">
        <x:f>B85/Cohorts!$H$32</x:f>
        <x:v>0.9840928632846088</x:v>
      </x:c>
      <x:c r="D85" s="105" t="n">
        <x:f>Cohorts!I29</x:f>
        <x:v>26000000</x:v>
      </x:c>
      <x:c r="E85" s="105" t="n">
        <x:f>Cohorts!B29</x:f>
        <x:v>11358.671909130624</x:v>
      </x:c>
      <x:c r="F85" s="105" t="n">
        <x:f>Cohorts!E29</x:f>
        <x:v>2420.620358235037</x:v>
      </x:c>
      <x:c r="G85" s="105" t="n">
        <x:f>Cohorts!D29</x:f>
        <x:v>8263.433813892529</x:v>
      </x:c>
      <x:c r="H85" s="108" t="n">
        <x:f>Cohorts!F29</x:f>
        <x:v>3.413766965059197</x:v>
      </x:c>
      <x:c r="I85" s="48"/>
      <x:c r="J85" s="48"/>
    </x:row>
    <x:row r="86">
      <x:c r="A86" s="99" t="str">
        <x:f>Cohorts!A30</x:f>
        <x:v>Сопровождение ремонта</x:v>
      </x:c>
      <x:c r="B86" s="101" t="n">
        <x:f>Cohorts!H30</x:f>
        <x:v>37</x:v>
      </x:c>
      <x:c r="C86" s="103" t="n">
        <x:f>B86/Cohorts!$H$32</x:f>
        <x:v>0.01590713671539123</x:v>
      </x:c>
      <x:c r="D86" s="105" t="n">
        <x:f>Cohorts!I30</x:f>
        <x:v>35750000</x:v>
      </x:c>
      <x:c r="E86" s="105" t="n">
        <x:f>Cohorts!B30</x:f>
        <x:v>966216.2162162162</x:v>
      </x:c>
      <x:c r="F86" s="105" t="n">
        <x:f>Cohorts!E30</x:f>
        <x:v>35000</x:v>
      </x:c>
      <x:c r="G86" s="105" t="n">
        <x:f>Cohorts!D30</x:f>
        <x:v>628040.5405405406</x:v>
      </x:c>
      <x:c r="H86" s="108" t="n">
        <x:f>Cohorts!F30</x:f>
        <x:v>17.944015444015445</x:v>
      </x:c>
      <x:c r="I86" s="48"/>
      <x:c r="J86" s="48"/>
    </x:row>
    <x:row r="87">
      <x:c r="A87" s="100" t="str">
        <x:v>Итого / среднее</x:v>
      </x:c>
      <x:c r="B87" s="102" t="n">
        <x:f>Cohorts!H32</x:f>
        <x:v>2326</x:v>
      </x:c>
      <x:c r="C87" s="104" t="n">
        <x:f>1</x:f>
        <x:v>1</x:v>
      </x:c>
      <x:c r="D87" s="106" t="n">
        <x:f>Cohorts!I32</x:f>
        <x:v>61750000</x:v>
      </x:c>
      <x:c r="E87" s="106" t="n">
        <x:f>Cohorts!B32</x:f>
        <x:v>26547.721410146172</x:v>
      </x:c>
      <x:c r="F87" s="106" t="n">
        <x:f>Cohorts!E32</x:f>
        <x:v>2938.8650042992263</x:v>
      </x:c>
      <x:c r="G87" s="106" t="n">
        <x:f>Cohorts!D32</x:f>
        <x:v>18122.31298366294</x:v>
      </x:c>
      <x:c r="H87" s="109" t="n">
        <x:f>Cohorts!F32</x:f>
        <x:v>6.166432604815823</x:v>
      </x:c>
      <x:c r="I87" s="48"/>
      <x:c r="J87" s="48"/>
    </x:row>
  </x:sheetData>
  <x:mergeCells>
    <x:mergeCell ref="A1:J1"/>
    <x:mergeCell ref="A2:J2"/>
    <x:mergeCell ref="A68:J68"/>
    <x:mergeCell ref="A78:J78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8" hidden="0" customWidth="1"/>
    <x:col min="3" max="3" width="15" hidden="0" customWidth="1"/>
    <x:col min="4" max="4" width="17" hidden="0" customWidth="1"/>
    <x:col min="5" max="5" width="15" hidden="0" customWidth="1"/>
    <x:col min="6" max="6" width="16" hidden="0" customWidth="1"/>
    <x:col min="7" max="7" width="15" hidden="0" customWidth="1"/>
    <x:col min="8" max="8" width="19" hidden="0" customWidth="1"/>
    <x:col min="9" max="9" width="21" hidden="0" customWidth="1"/>
    <x:col min="10" max="10" width="15" hidden="0" customWidth="1"/>
    <x:col min="11" max="11" width="20" hidden="0" customWidth="1"/>
    <x:col min="12" max="12" width="18" hidden="0" customWidth="1"/>
    <x:col min="13" max="13" width="18" hidden="0" customWidth="1"/>
    <x:col min="14" max="14" width="20" hidden="0" customWidth="1"/>
    <x:col min="15" max="15" width="18" hidden="0" customWidth="1"/>
    <x:col min="16" max="16" width="18" hidden="0" customWidth="1"/>
    <x:col min="17" max="17" width="20" hidden="0" customWidth="1"/>
    <x:col min="18" max="18" width="20" hidden="0" customWidth="1"/>
  </x:cols>
  <x:sheetData>
    <x:row r="1" ht="32" customHeight="1">
      <x:c r="A1" s="45" t="str">
        <x:v>Выручка и активные пользователи — 5 лет</x:v>
      </x:c>
      <x:c r="B1" s="45"/>
      <x:c r="C1" s="45"/>
      <x:c r="D1" s="45"/>
      <x:c r="E1" s="45"/>
      <x:c r="F1" s="45"/>
      <x:c r="G1" s="45"/>
      <x:c r="H1" s="45"/>
      <x:c r="I1" s="45"/>
      <x:c r="J1" s="45"/>
      <x:c r="K1" s="45"/>
      <x:c r="L1" s="45"/>
      <x:c r="M1" s="45"/>
      <x:c r="N1" s="45"/>
      <x:c r="O1" s="45"/>
      <x:c r="P1" s="45"/>
      <x:c r="Q1" s="45"/>
      <x:c r="R1" s="45"/>
    </x:row>
    <x:row r="2" ht="34" customHeight="1">
      <x:c r="A2" s="7" t="str">
        <x:v>Лист показывает выручку по продуктам и движение активных платящих пользователей: сколько было в начале месяца, сколько пришло, ушло и осталось. Бесплатные пользователи приложения в расчёт пока не входят.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</x:row>
    <x:row r="3">
      <x:c r="A3" s="48"/>
      <x:c r="B3" s="48"/>
      <x:c r="C3" s="48"/>
      <x:c r="D3" s="48"/>
      <x:c r="E3" s="48"/>
      <x:c r="F3" s="48"/>
      <x:c r="G3" s="48"/>
      <x:c r="H3" s="48"/>
      <x:c r="I3" s="48"/>
      <x:c r="J3" s="48"/>
      <x:c r="K3" s="48"/>
      <x:c r="L3" s="48"/>
      <x:c r="M3" s="48"/>
      <x:c r="N3" s="48"/>
      <x:c r="O3" s="48"/>
      <x:c r="P3" s="48"/>
      <x:c r="Q3" s="48"/>
      <x:c r="R3" s="48"/>
    </x:row>
    <x:row r="4" ht="28" customHeight="1">
      <x:c r="A4" s="18" t="str">
        <x:v>Месяц</x:v>
      </x:c>
      <x:c r="B4" s="18" t="str">
        <x:v>Выручка всего</x:v>
      </x:c>
      <x:c r="C4" s="18" t="str">
        <x:v>Тариф 1: Light</x:v>
      </x:c>
      <x:c r="D4" s="18" t="str">
        <x:v>Тариф 2: с экспертом</x:v>
      </x:c>
      <x:c r="E4" s="18" t="str">
        <x:v>AI-баланс</x:v>
      </x:c>
      <x:c r="F4" s="18" t="str">
        <x:v>Дополнительные услуги</x:v>
      </x:c>
      <x:c r="G4" s="18" t="str">
        <x:v>Маршрут</x:v>
      </x:c>
      <x:c r="H4" s="18" t="str">
        <x:v>Индивидуальная карта</x:v>
      </x:c>
      <x:c r="I4" s="18" t="str">
        <x:v>Сопровождение ремонта</x:v>
      </x:c>
      <x:c r="J4" s="18" t="str">
        <x:v>Обучение</x:v>
      </x:c>
      <x:c r="K4" s="18" t="str">
        <x:v>Активные Light</x:v>
      </x:c>
      <x:c r="L4" s="18" t="str">
        <x:v>Активные с экспертом</x:v>
      </x:c>
      <x:c r="M4" s="18" t="str">
        <x:v>Активные пользователи в начале</x:v>
      </x:c>
      <x:c r="N4" s="18" t="str">
        <x:v>Новые активные пользователи</x:v>
      </x:c>
      <x:c r="O4" s="18" t="str">
        <x:v>Ушедшие пользователи</x:v>
      </x:c>
      <x:c r="P4" s="18" t="str">
        <x:v>Активные пользователи в конце</x:v>
      </x:c>
      <x:c r="Q4" s="18" t="str">
        <x:v>Отток за месяц</x:v>
      </x:c>
      <x:c r="R4" s="18" t="str">
        <x:v>Активные объекты</x:v>
      </x:c>
    </x:row>
    <x:row r="5" ht="46" customHeight="1">
      <x:c r="A5" s="22" t="str">
        <x:v>Период</x:v>
      </x:c>
      <x:c r="B5" s="22" t="str">
        <x:v>Сумма всех продуктов и услуг</x:v>
      </x:c>
      <x:c r="C5" s="22" t="str">
        <x:v>Подписка 990 ₽ в месяц</x:v>
      </x:c>
      <x:c r="D5" s="22" t="str">
        <x:v>Подписка 14 990 ₽ в месяц</x:v>
      </x:c>
      <x:c r="E5" s="22" t="str">
        <x:v>Пополнения AI-баланса</x:v>
      </x:c>
      <x:c r="F5" s="22" t="str">
        <x:v>Консультации, выезды, приёмка и документы по 4 900 ₽</x:v>
      </x:c>
      <x:c r="G5" s="22" t="str">
        <x:v>Продажи типового маршрута</x:v>
      </x:c>
      <x:c r="H5" s="22" t="str">
        <x:v>Продажи индивидуальной карты</x:v>
      </x:c>
      <x:c r="I5" s="22" t="str">
        <x:v>Сопровождение ремонта</x:v>
      </x:c>
      <x:c r="J5" s="22" t="str">
        <x:v>Школа руководителей проектов и ассистентов</x:v>
      </x:c>
      <x:c r="K5" s="22" t="str">
        <x:v>Количество платящих пользователей Light в месяце</x:v>
      </x:c>
      <x:c r="L5" s="22" t="str">
        <x:v>Количество платящих пользователей тарифа с экспертом в месяце</x:v>
      </x:c>
      <x:c r="M5" s="22" t="str">
        <x:v>Активная платящая база на начало месяца</x:v>
      </x:c>
      <x:c r="N5" s="22" t="str">
        <x:v>Пользователи, добавленные за месяц</x:v>
      </x:c>
      <x:c r="O5" s="22" t="str">
        <x:v>Пользователи, прекратившие оплату</x:v>
      </x:c>
      <x:c r="P5" s="22" t="str">
        <x:v>Активная платящая база на конец месяца</x:v>
      </x:c>
      <x:c r="Q5" s="22" t="str">
        <x:v>Ушедшие / активные на начало месяца</x:v>
      </x:c>
      <x:c r="R5" s="22" t="str">
        <x:v>Объекты, которые одновременно находятся в сопровождении</x:v>
      </x:c>
    </x:row>
    <x:row r="6">
      <x:c r="A6" s="56" t="n">
        <x:v>46296</x:v>
      </x:c>
      <x:c r="B6" s="61" t="n">
        <x:f>Assumptions!$C$35*1*0.075</x:f>
        <x:v>4875000</x:v>
      </x:c>
      <x:c r="C6" s="61" t="n">
        <x:f>$B6*Assumptions!$B$51</x:f>
        <x:v>731250</x:v>
      </x:c>
      <x:c r="D6" s="61" t="n">
        <x:f>$B6*Assumptions!$B$52</x:f>
        <x:v>390000</x:v>
      </x:c>
      <x:c r="E6" s="61" t="n">
        <x:f>$B6*Assumptions!$B$53</x:f>
        <x:v>341250.00000000006</x:v>
      </x:c>
      <x:c r="F6" s="61" t="n">
        <x:f>$B6*Assumptions!$B$54</x:f>
        <x:v>243750</x:v>
      </x:c>
      <x:c r="G6" s="61" t="n">
        <x:f>$B6*Assumptions!$B$55</x:f>
        <x:v>243750</x:v>
      </x:c>
      <x:c r="H6" s="61" t="n">
        <x:f>$B6*Assumptions!$B$56</x:f>
        <x:v>487500</x:v>
      </x:c>
      <x:c r="I6" s="61" t="n">
        <x:f>$B6*Assumptions!$B$57</x:f>
        <x:v>2193750</x:v>
      </x:c>
      <x:c r="J6" s="61" t="n">
        <x:f>$B6*Assumptions!$B$58</x:f>
        <x:v>243750</x:v>
      </x:c>
      <x:c r="K6" s="59" t="n">
        <x:f>ROUNDUP(C6/Assumptions!$C$7,0)</x:f>
        <x:v>739</x:v>
      </x:c>
      <x:c r="L6" s="59" t="n">
        <x:f>ROUNDUP(D6/Assumptions!$C$8,0)</x:f>
        <x:v>27</x:v>
      </x:c>
      <x:c r="M6" s="59" t="n">
        <x:f>0</x:f>
        <x:v>0</x:v>
      </x:c>
      <x:c r="N6" s="59" t="n">
        <x:f>MAX(0,P6-M6+O6)</x:f>
        <x:v>766</x:v>
      </x:c>
      <x:c r="O6" s="59" t="n">
        <x:f>IF(M6=0,0,MAX(ROUND(M6*IF(P6=0,0,(K6/Assumptions!$C$14+L6/Assumptions!$C$43)/P6),0),M6-P6))</x:f>
        <x:v>0</x:v>
      </x:c>
      <x:c r="P6" s="59" t="n">
        <x:f>K6+L6</x:f>
        <x:v>766</x:v>
      </x:c>
      <x:c r="Q6" s="60" t="n">
        <x:f>IF(M6=0,0,O6/M6)</x:f>
        <x:v>0</x:v>
      </x:c>
      <x:c r="R6" s="59" t="n">
        <x:f>ROUNDUP(I6/((Assumptions!$C$12*Assumptions!$C$13)/Assumptions!$C$15),0)</x:f>
        <x:v>28</x:v>
      </x:c>
    </x:row>
    <x:row r="7">
      <x:c r="A7" s="56" t="n">
        <x:v>46327</x:v>
      </x:c>
      <x:c r="B7" s="61" t="n">
        <x:f>Assumptions!$C$35*1*0.076</x:f>
        <x:v>4940000</x:v>
      </x:c>
      <x:c r="C7" s="61" t="n">
        <x:f>$B7*Assumptions!$B$51</x:f>
        <x:v>741000</x:v>
      </x:c>
      <x:c r="D7" s="61" t="n">
        <x:f>$B7*Assumptions!$B$52</x:f>
        <x:v>395200</x:v>
      </x:c>
      <x:c r="E7" s="61" t="n">
        <x:f>$B7*Assumptions!$B$53</x:f>
        <x:v>345800.00000000006</x:v>
      </x:c>
      <x:c r="F7" s="61" t="n">
        <x:f>$B7*Assumptions!$B$54</x:f>
        <x:v>247000</x:v>
      </x:c>
      <x:c r="G7" s="61" t="n">
        <x:f>$B7*Assumptions!$B$55</x:f>
        <x:v>247000</x:v>
      </x:c>
      <x:c r="H7" s="61" t="n">
        <x:f>$B7*Assumptions!$B$56</x:f>
        <x:v>494000</x:v>
      </x:c>
      <x:c r="I7" s="61" t="n">
        <x:f>$B7*Assumptions!$B$57</x:f>
        <x:v>2223000</x:v>
      </x:c>
      <x:c r="J7" s="61" t="n">
        <x:f>$B7*Assumptions!$B$58</x:f>
        <x:v>247000</x:v>
      </x:c>
      <x:c r="K7" s="59" t="n">
        <x:f>ROUNDUP(C7/Assumptions!$C$7,0)</x:f>
        <x:v>749</x:v>
      </x:c>
      <x:c r="L7" s="59" t="n">
        <x:f>ROUNDUP(D7/Assumptions!$C$8,0)</x:f>
        <x:v>27</x:v>
      </x:c>
      <x:c r="M7" s="59" t="n">
        <x:f>P6</x:f>
        <x:v>766</x:v>
      </x:c>
      <x:c r="N7" s="59" t="n">
        <x:f>MAX(0,P7-M7+O7)</x:f>
        <x:v>142</x:v>
      </x:c>
      <x:c r="O7" s="59" t="n">
        <x:f>IF(M7=0,0,MAX(ROUND(M7*IF(P7=0,0,(K7/Assumptions!$C$14+L7/Assumptions!$C$43)/P7),0),M7-P7))</x:f>
        <x:v>132</x:v>
      </x:c>
      <x:c r="P7" s="59" t="n">
        <x:f>K7+L7</x:f>
        <x:v>776</x:v>
      </x:c>
      <x:c r="Q7" s="60" t="n">
        <x:f>IF(M7=0,0,O7/M7)</x:f>
        <x:v>0.17232375979112272</x:v>
      </x:c>
      <x:c r="R7" s="59" t="n">
        <x:f>ROUNDUP(I7/((Assumptions!$C$12*Assumptions!$C$13)/Assumptions!$C$15),0)</x:f>
        <x:v>28</x:v>
      </x:c>
    </x:row>
    <x:row r="8">
      <x:c r="A8" s="56" t="n">
        <x:v>46357</x:v>
      </x:c>
      <x:c r="B8" s="61" t="n">
        <x:f>Assumptions!$C$35*1*0.077</x:f>
        <x:v>5005000</x:v>
      </x:c>
      <x:c r="C8" s="61" t="n">
        <x:f>$B8*Assumptions!$B$51</x:f>
        <x:v>750750</x:v>
      </x:c>
      <x:c r="D8" s="61" t="n">
        <x:f>$B8*Assumptions!$B$52</x:f>
        <x:v>400400</x:v>
      </x:c>
      <x:c r="E8" s="61" t="n">
        <x:f>$B8*Assumptions!$B$53</x:f>
        <x:v>350350.00000000006</x:v>
      </x:c>
      <x:c r="F8" s="61" t="n">
        <x:f>$B8*Assumptions!$B$54</x:f>
        <x:v>250250</x:v>
      </x:c>
      <x:c r="G8" s="61" t="n">
        <x:f>$B8*Assumptions!$B$55</x:f>
        <x:v>250250</x:v>
      </x:c>
      <x:c r="H8" s="61" t="n">
        <x:f>$B8*Assumptions!$B$56</x:f>
        <x:v>500500</x:v>
      </x:c>
      <x:c r="I8" s="61" t="n">
        <x:f>$B8*Assumptions!$B$57</x:f>
        <x:v>2252250</x:v>
      </x:c>
      <x:c r="J8" s="61" t="n">
        <x:f>$B8*Assumptions!$B$58</x:f>
        <x:v>250250</x:v>
      </x:c>
      <x:c r="K8" s="59" t="n">
        <x:f>ROUNDUP(C8/Assumptions!$C$7,0)</x:f>
        <x:v>759</x:v>
      </x:c>
      <x:c r="L8" s="59" t="n">
        <x:f>ROUNDUP(D8/Assumptions!$C$8,0)</x:f>
        <x:v>27</x:v>
      </x:c>
      <x:c r="M8" s="59" t="n">
        <x:f>P7</x:f>
        <x:v>776</x:v>
      </x:c>
      <x:c r="N8" s="59" t="n">
        <x:f>MAX(0,P8-M8+O8)</x:f>
        <x:v>144</x:v>
      </x:c>
      <x:c r="O8" s="59" t="n">
        <x:f>IF(M8=0,0,MAX(ROUND(M8*IF(P8=0,0,(K8/Assumptions!$C$14+L8/Assumptions!$C$43)/P8),0),M8-P8))</x:f>
        <x:v>134</x:v>
      </x:c>
      <x:c r="P8" s="59" t="n">
        <x:f>K8+L8</x:f>
        <x:v>786</x:v>
      </x:c>
      <x:c r="Q8" s="60" t="n">
        <x:f>IF(M8=0,0,O8/M8)</x:f>
        <x:v>0.17268041237113402</x:v>
      </x:c>
      <x:c r="R8" s="59" t="n">
        <x:f>ROUNDUP(I8/((Assumptions!$C$12*Assumptions!$C$13)/Assumptions!$C$15),0)</x:f>
        <x:v>29</x:v>
      </x:c>
    </x:row>
    <x:row r="9">
      <x:c r="A9" s="56" t="n">
        <x:v>46388</x:v>
      </x:c>
      <x:c r="B9" s="61" t="n">
        <x:f>Assumptions!$C$35*1*0.079</x:f>
        <x:v>5135000</x:v>
      </x:c>
      <x:c r="C9" s="61" t="n">
        <x:f>$B9*Assumptions!$B$51</x:f>
        <x:v>770250</x:v>
      </x:c>
      <x:c r="D9" s="61" t="n">
        <x:f>$B9*Assumptions!$B$52</x:f>
        <x:v>410800</x:v>
      </x:c>
      <x:c r="E9" s="61" t="n">
        <x:f>$B9*Assumptions!$B$53</x:f>
        <x:v>359450.00000000006</x:v>
      </x:c>
      <x:c r="F9" s="61" t="n">
        <x:f>$B9*Assumptions!$B$54</x:f>
        <x:v>256750</x:v>
      </x:c>
      <x:c r="G9" s="61" t="n">
        <x:f>$B9*Assumptions!$B$55</x:f>
        <x:v>256750</x:v>
      </x:c>
      <x:c r="H9" s="61" t="n">
        <x:f>$B9*Assumptions!$B$56</x:f>
        <x:v>513500</x:v>
      </x:c>
      <x:c r="I9" s="61" t="n">
        <x:f>$B9*Assumptions!$B$57</x:f>
        <x:v>2310750</x:v>
      </x:c>
      <x:c r="J9" s="61" t="n">
        <x:f>$B9*Assumptions!$B$58</x:f>
        <x:v>256750</x:v>
      </x:c>
      <x:c r="K9" s="59" t="n">
        <x:f>ROUNDUP(C9/Assumptions!$C$7,0)</x:f>
        <x:v>779</x:v>
      </x:c>
      <x:c r="L9" s="59" t="n">
        <x:f>ROUNDUP(D9/Assumptions!$C$8,0)</x:f>
        <x:v>28</x:v>
      </x:c>
      <x:c r="M9" s="59" t="n">
        <x:f>P8</x:f>
        <x:v>786</x:v>
      </x:c>
      <x:c r="N9" s="59" t="n">
        <x:f>MAX(0,P9-M9+O9)</x:f>
        <x:v>157</x:v>
      </x:c>
      <x:c r="O9" s="59" t="n">
        <x:f>IF(M9=0,0,MAX(ROUND(M9*IF(P9=0,0,(K9/Assumptions!$C$14+L9/Assumptions!$C$43)/P9),0),M9-P9))</x:f>
        <x:v>136</x:v>
      </x:c>
      <x:c r="P9" s="59" t="n">
        <x:f>K9+L9</x:f>
        <x:v>807</x:v>
      </x:c>
      <x:c r="Q9" s="60" t="n">
        <x:f>IF(M9=0,0,O9/M9)</x:f>
        <x:v>0.17302798982188294</x:v>
      </x:c>
      <x:c r="R9" s="59" t="n">
        <x:f>ROUNDUP(I9/((Assumptions!$C$12*Assumptions!$C$13)/Assumptions!$C$15),0)</x:f>
        <x:v>29</x:v>
      </x:c>
    </x:row>
    <x:row r="10">
      <x:c r="A10" s="56" t="n">
        <x:v>46419</x:v>
      </x:c>
      <x:c r="B10" s="61" t="n">
        <x:f>Assumptions!$C$35*1*0.08</x:f>
        <x:v>5200000</x:v>
      </x:c>
      <x:c r="C10" s="61" t="n">
        <x:f>$B10*Assumptions!$B$51</x:f>
        <x:v>780000</x:v>
      </x:c>
      <x:c r="D10" s="61" t="n">
        <x:f>$B10*Assumptions!$B$52</x:f>
        <x:v>416000</x:v>
      </x:c>
      <x:c r="E10" s="61" t="n">
        <x:f>$B10*Assumptions!$B$53</x:f>
        <x:v>364000.00000000006</x:v>
      </x:c>
      <x:c r="F10" s="61" t="n">
        <x:f>$B10*Assumptions!$B$54</x:f>
        <x:v>260000</x:v>
      </x:c>
      <x:c r="G10" s="61" t="n">
        <x:f>$B10*Assumptions!$B$55</x:f>
        <x:v>260000</x:v>
      </x:c>
      <x:c r="H10" s="61" t="n">
        <x:f>$B10*Assumptions!$B$56</x:f>
        <x:v>520000</x:v>
      </x:c>
      <x:c r="I10" s="61" t="n">
        <x:f>$B10*Assumptions!$B$57</x:f>
        <x:v>2340000</x:v>
      </x:c>
      <x:c r="J10" s="61" t="n">
        <x:f>$B10*Assumptions!$B$58</x:f>
        <x:v>260000</x:v>
      </x:c>
      <x:c r="K10" s="59" t="n">
        <x:f>ROUNDUP(C10/Assumptions!$C$7,0)</x:f>
        <x:v>788</x:v>
      </x:c>
      <x:c r="L10" s="59" t="n">
        <x:f>ROUNDUP(D10/Assumptions!$C$8,0)</x:f>
        <x:v>28</x:v>
      </x:c>
      <x:c r="M10" s="59" t="n">
        <x:f>P9</x:f>
        <x:v>807</x:v>
      </x:c>
      <x:c r="N10" s="59" t="n">
        <x:f>MAX(0,P10-M10+O10)</x:f>
        <x:v>148</x:v>
      </x:c>
      <x:c r="O10" s="59" t="n">
        <x:f>IF(M10=0,0,MAX(ROUND(M10*IF(P10=0,0,(K10/Assumptions!$C$14+L10/Assumptions!$C$43)/P10),0),M10-P10))</x:f>
        <x:v>139</x:v>
      </x:c>
      <x:c r="P10" s="59" t="n">
        <x:f>K10+L10</x:f>
        <x:v>816</x:v>
      </x:c>
      <x:c r="Q10" s="60" t="n">
        <x:f>IF(M10=0,0,O10/M10)</x:f>
        <x:v>0.17224287484510534</x:v>
      </x:c>
      <x:c r="R10" s="59" t="n">
        <x:f>ROUNDUP(I10/((Assumptions!$C$12*Assumptions!$C$13)/Assumptions!$C$15),0)</x:f>
        <x:v>30</x:v>
      </x:c>
    </x:row>
    <x:row r="11">
      <x:c r="A11" s="56" t="n">
        <x:v>46447</x:v>
      </x:c>
      <x:c r="B11" s="61" t="n">
        <x:f>Assumptions!$C$35*1*0.081</x:f>
        <x:v>5265000</x:v>
      </x:c>
      <x:c r="C11" s="61" t="n">
        <x:f>$B11*Assumptions!$B$51</x:f>
        <x:v>789750</x:v>
      </x:c>
      <x:c r="D11" s="61" t="n">
        <x:f>$B11*Assumptions!$B$52</x:f>
        <x:v>421200</x:v>
      </x:c>
      <x:c r="E11" s="61" t="n">
        <x:f>$B11*Assumptions!$B$53</x:f>
        <x:v>368550.00000000006</x:v>
      </x:c>
      <x:c r="F11" s="61" t="n">
        <x:f>$B11*Assumptions!$B$54</x:f>
        <x:v>263250</x:v>
      </x:c>
      <x:c r="G11" s="61" t="n">
        <x:f>$B11*Assumptions!$B$55</x:f>
        <x:v>263250</x:v>
      </x:c>
      <x:c r="H11" s="61" t="n">
        <x:f>$B11*Assumptions!$B$56</x:f>
        <x:v>526500</x:v>
      </x:c>
      <x:c r="I11" s="61" t="n">
        <x:f>$B11*Assumptions!$B$57</x:f>
        <x:v>2369250</x:v>
      </x:c>
      <x:c r="J11" s="61" t="n">
        <x:f>$B11*Assumptions!$B$58</x:f>
        <x:v>263250</x:v>
      </x:c>
      <x:c r="K11" s="59" t="n">
        <x:f>ROUNDUP(C11/Assumptions!$C$7,0)</x:f>
        <x:v>798</x:v>
      </x:c>
      <x:c r="L11" s="59" t="n">
        <x:f>ROUNDUP(D11/Assumptions!$C$8,0)</x:f>
        <x:v>29</x:v>
      </x:c>
      <x:c r="M11" s="59" t="n">
        <x:f>P10</x:f>
        <x:v>816</x:v>
      </x:c>
      <x:c r="N11" s="59" t="n">
        <x:f>MAX(0,P11-M11+O11)</x:f>
        <x:v>152</x:v>
      </x:c>
      <x:c r="O11" s="59" t="n">
        <x:f>IF(M11=0,0,MAX(ROUND(M11*IF(P11=0,0,(K11/Assumptions!$C$14+L11/Assumptions!$C$43)/P11),0),M11-P11))</x:f>
        <x:v>141</x:v>
      </x:c>
      <x:c r="P11" s="59" t="n">
        <x:f>K11+L11</x:f>
        <x:v>827</x:v>
      </x:c>
      <x:c r="Q11" s="60" t="n">
        <x:f>IF(M11=0,0,O11/M11)</x:f>
        <x:v>0.17279411764705882</x:v>
      </x:c>
      <x:c r="R11" s="59" t="n">
        <x:f>ROUNDUP(I11/((Assumptions!$C$12*Assumptions!$C$13)/Assumptions!$C$15),0)</x:f>
        <x:v>30</x:v>
      </x:c>
    </x:row>
    <x:row r="12">
      <x:c r="A12" s="56" t="n">
        <x:v>46478</x:v>
      </x:c>
      <x:c r="B12" s="61" t="n">
        <x:f>Assumptions!$C$35*1*0.083</x:f>
        <x:v>5395000</x:v>
      </x:c>
      <x:c r="C12" s="61" t="n">
        <x:f>$B12*Assumptions!$B$51</x:f>
        <x:v>809250</x:v>
      </x:c>
      <x:c r="D12" s="61" t="n">
        <x:f>$B12*Assumptions!$B$52</x:f>
        <x:v>431600</x:v>
      </x:c>
      <x:c r="E12" s="61" t="n">
        <x:f>$B12*Assumptions!$B$53</x:f>
        <x:v>377650.00000000006</x:v>
      </x:c>
      <x:c r="F12" s="61" t="n">
        <x:f>$B12*Assumptions!$B$54</x:f>
        <x:v>269750</x:v>
      </x:c>
      <x:c r="G12" s="61" t="n">
        <x:f>$B12*Assumptions!$B$55</x:f>
        <x:v>269750</x:v>
      </x:c>
      <x:c r="H12" s="61" t="n">
        <x:f>$B12*Assumptions!$B$56</x:f>
        <x:v>539500</x:v>
      </x:c>
      <x:c r="I12" s="61" t="n">
        <x:f>$B12*Assumptions!$B$57</x:f>
        <x:v>2427750</x:v>
      </x:c>
      <x:c r="J12" s="61" t="n">
        <x:f>$B12*Assumptions!$B$58</x:f>
        <x:v>269750</x:v>
      </x:c>
      <x:c r="K12" s="59" t="n">
        <x:f>ROUNDUP(C12/Assumptions!$C$7,0)</x:f>
        <x:v>818</x:v>
      </x:c>
      <x:c r="L12" s="59" t="n">
        <x:f>ROUNDUP(D12/Assumptions!$C$8,0)</x:f>
        <x:v>29</x:v>
      </x:c>
      <x:c r="M12" s="59" t="n">
        <x:f>P11</x:f>
        <x:v>827</x:v>
      </x:c>
      <x:c r="N12" s="59" t="n">
        <x:f>MAX(0,P12-M12+O12)</x:f>
        <x:v>163</x:v>
      </x:c>
      <x:c r="O12" s="59" t="n">
        <x:f>IF(M12=0,0,MAX(ROUND(M12*IF(P12=0,0,(K12/Assumptions!$C$14+L12/Assumptions!$C$43)/P12),0),M12-P12))</x:f>
        <x:v>143</x:v>
      </x:c>
      <x:c r="P12" s="59" t="n">
        <x:f>K12+L12</x:f>
        <x:v>847</x:v>
      </x:c>
      <x:c r="Q12" s="60" t="n">
        <x:f>IF(M12=0,0,O12/M12)</x:f>
        <x:v>0.17291414752116083</x:v>
      </x:c>
      <x:c r="R12" s="59" t="n">
        <x:f>ROUNDUP(I12/((Assumptions!$C$12*Assumptions!$C$13)/Assumptions!$C$15),0)</x:f>
        <x:v>31</x:v>
      </x:c>
    </x:row>
    <x:row r="13">
      <x:c r="A13" s="56" t="n">
        <x:v>46508</x:v>
      </x:c>
      <x:c r="B13" s="61" t="n">
        <x:f>Assumptions!$C$35*1*0.084</x:f>
        <x:v>5460000</x:v>
      </x:c>
      <x:c r="C13" s="61" t="n">
        <x:f>$B13*Assumptions!$B$51</x:f>
        <x:v>819000</x:v>
      </x:c>
      <x:c r="D13" s="61" t="n">
        <x:f>$B13*Assumptions!$B$52</x:f>
        <x:v>436800</x:v>
      </x:c>
      <x:c r="E13" s="61" t="n">
        <x:f>$B13*Assumptions!$B$53</x:f>
        <x:v>382200.00000000006</x:v>
      </x:c>
      <x:c r="F13" s="61" t="n">
        <x:f>$B13*Assumptions!$B$54</x:f>
        <x:v>273000</x:v>
      </x:c>
      <x:c r="G13" s="61" t="n">
        <x:f>$B13*Assumptions!$B$55</x:f>
        <x:v>273000</x:v>
      </x:c>
      <x:c r="H13" s="61" t="n">
        <x:f>$B13*Assumptions!$B$56</x:f>
        <x:v>546000</x:v>
      </x:c>
      <x:c r="I13" s="61" t="n">
        <x:f>$B13*Assumptions!$B$57</x:f>
        <x:v>2457000</x:v>
      </x:c>
      <x:c r="J13" s="61" t="n">
        <x:f>$B13*Assumptions!$B$58</x:f>
        <x:v>273000</x:v>
      </x:c>
      <x:c r="K13" s="59" t="n">
        <x:f>ROUNDUP(C13/Assumptions!$C$7,0)</x:f>
        <x:v>828</x:v>
      </x:c>
      <x:c r="L13" s="59" t="n">
        <x:f>ROUNDUP(D13/Assumptions!$C$8,0)</x:f>
        <x:v>30</x:v>
      </x:c>
      <x:c r="M13" s="59" t="n">
        <x:f>P12</x:f>
        <x:v>847</x:v>
      </x:c>
      <x:c r="N13" s="59" t="n">
        <x:f>MAX(0,P13-M13+O13)</x:f>
        <x:v>157</x:v>
      </x:c>
      <x:c r="O13" s="59" t="n">
        <x:f>IF(M13=0,0,MAX(ROUND(M13*IF(P13=0,0,(K13/Assumptions!$C$14+L13/Assumptions!$C$43)/P13),0),M13-P13))</x:f>
        <x:v>146</x:v>
      </x:c>
      <x:c r="P13" s="59" t="n">
        <x:f>K13+L13</x:f>
        <x:v>858</x:v>
      </x:c>
      <x:c r="Q13" s="60" t="n">
        <x:f>IF(M13=0,0,O13/M13)</x:f>
        <x:v>0.17237308146399055</x:v>
      </x:c>
      <x:c r="R13" s="59" t="n">
        <x:f>ROUNDUP(I13/((Assumptions!$C$12*Assumptions!$C$13)/Assumptions!$C$15),0)</x:f>
        <x:v>31</x:v>
      </x:c>
    </x:row>
    <x:row r="14">
      <x:c r="A14" s="56" t="n">
        <x:v>46539</x:v>
      </x:c>
      <x:c r="B14" s="61" t="n">
        <x:f>Assumptions!$C$35*1*0.086</x:f>
        <x:v>5590000</x:v>
      </x:c>
      <x:c r="C14" s="61" t="n">
        <x:f>$B14*Assumptions!$B$51</x:f>
        <x:v>838500</x:v>
      </x:c>
      <x:c r="D14" s="61" t="n">
        <x:f>$B14*Assumptions!$B$52</x:f>
        <x:v>447200</x:v>
      </x:c>
      <x:c r="E14" s="61" t="n">
        <x:f>$B14*Assumptions!$B$53</x:f>
        <x:v>391300.00000000006</x:v>
      </x:c>
      <x:c r="F14" s="61" t="n">
        <x:f>$B14*Assumptions!$B$54</x:f>
        <x:v>279500</x:v>
      </x:c>
      <x:c r="G14" s="61" t="n">
        <x:f>$B14*Assumptions!$B$55</x:f>
        <x:v>279500</x:v>
      </x:c>
      <x:c r="H14" s="61" t="n">
        <x:f>$B14*Assumptions!$B$56</x:f>
        <x:v>559000</x:v>
      </x:c>
      <x:c r="I14" s="61" t="n">
        <x:f>$B14*Assumptions!$B$57</x:f>
        <x:v>2515500</x:v>
      </x:c>
      <x:c r="J14" s="61" t="n">
        <x:f>$B14*Assumptions!$B$58</x:f>
        <x:v>279500</x:v>
      </x:c>
      <x:c r="K14" s="59" t="n">
        <x:f>ROUNDUP(C14/Assumptions!$C$7,0)</x:f>
        <x:v>847</x:v>
      </x:c>
      <x:c r="L14" s="59" t="n">
        <x:f>ROUNDUP(D14/Assumptions!$C$8,0)</x:f>
        <x:v>30</x:v>
      </x:c>
      <x:c r="M14" s="59" t="n">
        <x:f>P13</x:f>
        <x:v>858</x:v>
      </x:c>
      <x:c r="N14" s="59" t="n">
        <x:f>MAX(0,P14-M14+O14)</x:f>
        <x:v>167</x:v>
      </x:c>
      <x:c r="O14" s="59" t="n">
        <x:f>IF(M14=0,0,MAX(ROUND(M14*IF(P14=0,0,(K14/Assumptions!$C$14+L14/Assumptions!$C$43)/P14),0),M14-P14))</x:f>
        <x:v>148</x:v>
      </x:c>
      <x:c r="P14" s="59" t="n">
        <x:f>K14+L14</x:f>
        <x:v>877</x:v>
      </x:c>
      <x:c r="Q14" s="60" t="n">
        <x:f>IF(M14=0,0,O14/M14)</x:f>
        <x:v>0.17249417249417248</x:v>
      </x:c>
      <x:c r="R14" s="59" t="n">
        <x:f>ROUNDUP(I14/((Assumptions!$C$12*Assumptions!$C$13)/Assumptions!$C$15),0)</x:f>
        <x:v>32</x:v>
      </x:c>
    </x:row>
    <x:row r="15">
      <x:c r="A15" s="56" t="n">
        <x:v>46569</x:v>
      </x:c>
      <x:c r="B15" s="61" t="n">
        <x:f>Assumptions!$C$35*1*0.088</x:f>
        <x:v>5720000</x:v>
      </x:c>
      <x:c r="C15" s="61" t="n">
        <x:f>$B15*Assumptions!$B$51</x:f>
        <x:v>858000</x:v>
      </x:c>
      <x:c r="D15" s="61" t="n">
        <x:f>$B15*Assumptions!$B$52</x:f>
        <x:v>457600</x:v>
      </x:c>
      <x:c r="E15" s="61" t="n">
        <x:f>$B15*Assumptions!$B$53</x:f>
        <x:v>400400.00000000006</x:v>
      </x:c>
      <x:c r="F15" s="61" t="n">
        <x:f>$B15*Assumptions!$B$54</x:f>
        <x:v>286000</x:v>
      </x:c>
      <x:c r="G15" s="61" t="n">
        <x:f>$B15*Assumptions!$B$55</x:f>
        <x:v>286000</x:v>
      </x:c>
      <x:c r="H15" s="61" t="n">
        <x:f>$B15*Assumptions!$B$56</x:f>
        <x:v>572000</x:v>
      </x:c>
      <x:c r="I15" s="61" t="n">
        <x:f>$B15*Assumptions!$B$57</x:f>
        <x:v>2574000</x:v>
      </x:c>
      <x:c r="J15" s="61" t="n">
        <x:f>$B15*Assumptions!$B$58</x:f>
        <x:v>286000</x:v>
      </x:c>
      <x:c r="K15" s="59" t="n">
        <x:f>ROUNDUP(C15/Assumptions!$C$7,0)</x:f>
        <x:v>867</x:v>
      </x:c>
      <x:c r="L15" s="59" t="n">
        <x:f>ROUNDUP(D15/Assumptions!$C$8,0)</x:f>
        <x:v>31</x:v>
      </x:c>
      <x:c r="M15" s="59" t="n">
        <x:f>P14</x:f>
        <x:v>877</x:v>
      </x:c>
      <x:c r="N15" s="59" t="n">
        <x:f>MAX(0,P15-M15+O15)</x:f>
        <x:v>172</x:v>
      </x:c>
      <x:c r="O15" s="59" t="n">
        <x:f>IF(M15=0,0,MAX(ROUND(M15*IF(P15=0,0,(K15/Assumptions!$C$14+L15/Assumptions!$C$43)/P15),0),M15-P15))</x:f>
        <x:v>151</x:v>
      </x:c>
      <x:c r="P15" s="59" t="n">
        <x:f>K15+L15</x:f>
        <x:v>898</x:v>
      </x:c>
      <x:c r="Q15" s="60" t="n">
        <x:f>IF(M15=0,0,O15/M15)</x:f>
        <x:v>0.17217787913340935</x:v>
      </x:c>
      <x:c r="R15" s="59" t="n">
        <x:f>ROUNDUP(I15/((Assumptions!$C$12*Assumptions!$C$13)/Assumptions!$C$15),0)</x:f>
        <x:v>33</x:v>
      </x:c>
    </x:row>
    <x:row r="16">
      <x:c r="A16" s="56" t="n">
        <x:v>46600</x:v>
      </x:c>
      <x:c r="B16" s="61" t="n">
        <x:f>Assumptions!$C$35*1*0.094</x:f>
        <x:v>6110000</x:v>
      </x:c>
      <x:c r="C16" s="61" t="n">
        <x:f>$B16*Assumptions!$B$51</x:f>
        <x:v>916500</x:v>
      </x:c>
      <x:c r="D16" s="61" t="n">
        <x:f>$B16*Assumptions!$B$52</x:f>
        <x:v>488800</x:v>
      </x:c>
      <x:c r="E16" s="61" t="n">
        <x:f>$B16*Assumptions!$B$53</x:f>
        <x:v>427700.00000000006</x:v>
      </x:c>
      <x:c r="F16" s="61" t="n">
        <x:f>$B16*Assumptions!$B$54</x:f>
        <x:v>305500</x:v>
      </x:c>
      <x:c r="G16" s="61" t="n">
        <x:f>$B16*Assumptions!$B$55</x:f>
        <x:v>305500</x:v>
      </x:c>
      <x:c r="H16" s="61" t="n">
        <x:f>$B16*Assumptions!$B$56</x:f>
        <x:v>611000</x:v>
      </x:c>
      <x:c r="I16" s="61" t="n">
        <x:f>$B16*Assumptions!$B$57</x:f>
        <x:v>2749500</x:v>
      </x:c>
      <x:c r="J16" s="61" t="n">
        <x:f>$B16*Assumptions!$B$58</x:f>
        <x:v>305500</x:v>
      </x:c>
      <x:c r="K16" s="59" t="n">
        <x:f>ROUNDUP(C16/Assumptions!$C$7,0)</x:f>
        <x:v>926</x:v>
      </x:c>
      <x:c r="L16" s="59" t="n">
        <x:f>ROUNDUP(D16/Assumptions!$C$8,0)</x:f>
        <x:v>33</x:v>
      </x:c>
      <x:c r="M16" s="59" t="n">
        <x:f>P15</x:f>
        <x:v>898</x:v>
      </x:c>
      <x:c r="N16" s="59" t="n">
        <x:f>MAX(0,P16-M16+O16)</x:f>
        <x:v>216</x:v>
      </x:c>
      <x:c r="O16" s="59" t="n">
        <x:f>IF(M16=0,0,MAX(ROUND(M16*IF(P16=0,0,(K16/Assumptions!$C$14+L16/Assumptions!$C$43)/P16),0),M16-P16))</x:f>
        <x:v>155</x:v>
      </x:c>
      <x:c r="P16" s="59" t="n">
        <x:f>K16+L16</x:f>
        <x:v>959</x:v>
      </x:c>
      <x:c r="Q16" s="60" t="n">
        <x:f>IF(M16=0,0,O16/M16)</x:f>
        <x:v>0.17260579064587972</x:v>
      </x:c>
      <x:c r="R16" s="59" t="n">
        <x:f>ROUNDUP(I16/((Assumptions!$C$12*Assumptions!$C$13)/Assumptions!$C$15),0)</x:f>
        <x:v>35</x:v>
      </x:c>
    </x:row>
    <x:row r="17">
      <x:c r="A17" s="56" t="n">
        <x:v>46631</x:v>
      </x:c>
      <x:c r="B17" s="61" t="n">
        <x:f>Assumptions!$C$35*1*0.097</x:f>
        <x:v>6305000</x:v>
      </x:c>
      <x:c r="C17" s="61" t="n">
        <x:f>$B17*Assumptions!$B$51</x:f>
        <x:v>945750</x:v>
      </x:c>
      <x:c r="D17" s="61" t="n">
        <x:f>$B17*Assumptions!$B$52</x:f>
        <x:v>504400</x:v>
      </x:c>
      <x:c r="E17" s="61" t="n">
        <x:f>$B17*Assumptions!$B$53</x:f>
        <x:v>441350.00000000006</x:v>
      </x:c>
      <x:c r="F17" s="61" t="n">
        <x:f>$B17*Assumptions!$B$54</x:f>
        <x:v>315250</x:v>
      </x:c>
      <x:c r="G17" s="61" t="n">
        <x:f>$B17*Assumptions!$B$55</x:f>
        <x:v>315250</x:v>
      </x:c>
      <x:c r="H17" s="61" t="n">
        <x:f>$B17*Assumptions!$B$56</x:f>
        <x:v>630500</x:v>
      </x:c>
      <x:c r="I17" s="61" t="n">
        <x:f>$B17*Assumptions!$B$57</x:f>
        <x:v>2837250</x:v>
      </x:c>
      <x:c r="J17" s="61" t="n">
        <x:f>$B17*Assumptions!$B$58</x:f>
        <x:v>315250</x:v>
      </x:c>
      <x:c r="K17" s="59" t="n">
        <x:f>ROUNDUP(C17/Assumptions!$C$7,0)</x:f>
        <x:v>956</x:v>
      </x:c>
      <x:c r="L17" s="59" t="n">
        <x:f>ROUNDUP(D17/Assumptions!$C$8,0)</x:f>
        <x:v>34</x:v>
      </x:c>
      <x:c r="M17" s="59" t="n">
        <x:f>P16</x:f>
        <x:v>959</x:v>
      </x:c>
      <x:c r="N17" s="59" t="n">
        <x:f>MAX(0,P17-M17+O17)</x:f>
        <x:v>196</x:v>
      </x:c>
      <x:c r="O17" s="59" t="n">
        <x:f>IF(M17=0,0,MAX(ROUND(M17*IF(P17=0,0,(K17/Assumptions!$C$14+L17/Assumptions!$C$43)/P17),0),M17-P17))</x:f>
        <x:v>165</x:v>
      </x:c>
      <x:c r="P17" s="59" t="n">
        <x:f>K17+L17</x:f>
        <x:v>990</x:v>
      </x:c>
      <x:c r="Q17" s="60" t="n">
        <x:f>IF(M17=0,0,O17/M17)</x:f>
        <x:v>0.17205422314911367</x:v>
      </x:c>
      <x:c r="R17" s="59" t="n">
        <x:f>ROUNDUP(I17/((Assumptions!$C$12*Assumptions!$C$13)/Assumptions!$C$15),0)</x:f>
        <x:v>36</x:v>
      </x:c>
    </x:row>
    <x:row r="18">
      <x:c r="A18" s="56" t="n">
        <x:v>46661</x:v>
      </x:c>
      <x:c r="B18" s="61" t="n">
        <x:f>Assumptions!$C$35*(1+Assumptions!$C$36)*0.075</x:f>
        <x:v>7124999.99999775</x:v>
      </x:c>
      <x:c r="C18" s="61" t="n">
        <x:f>$B18*Assumptions!$C$51</x:f>
        <x:v>1567499.999999505</x:v>
      </x:c>
      <x:c r="D18" s="61" t="n">
        <x:f>$B18*Assumptions!$C$52</x:f>
        <x:v>712499.9999997751</x:v>
      </x:c>
      <x:c r="E18" s="61" t="n">
        <x:f>$B18*Assumptions!$C$53</x:f>
        <x:v>569999.99999982</x:v>
      </x:c>
      <x:c r="F18" s="61" t="n">
        <x:f>$B18*Assumptions!$C$54</x:f>
        <x:v>356249.99999988754</x:v>
      </x:c>
      <x:c r="G18" s="61" t="n">
        <x:f>$B18*Assumptions!$C$55</x:f>
        <x:v>356249.99999988754</x:v>
      </x:c>
      <x:c r="H18" s="61" t="n">
        <x:f>$B18*Assumptions!$C$56</x:f>
        <x:v>569999.99999982</x:v>
      </x:c>
      <x:c r="I18" s="61" t="n">
        <x:f>$B18*Assumptions!$C$57</x:f>
        <x:v>2636249.9999991674</x:v>
      </x:c>
      <x:c r="J18" s="61" t="n">
        <x:f>$B18*Assumptions!$C$58</x:f>
        <x:v>356249.99999988754</x:v>
      </x:c>
      <x:c r="K18" s="59" t="n">
        <x:f>ROUNDUP(C18/Assumptions!$C$7,0)</x:f>
        <x:v>1584</x:v>
      </x:c>
      <x:c r="L18" s="59" t="n">
        <x:f>ROUNDUP(D18/Assumptions!$C$8,0)</x:f>
        <x:v>48</x:v>
      </x:c>
      <x:c r="M18" s="59" t="n">
        <x:f>P17</x:f>
        <x:v>990</x:v>
      </x:c>
      <x:c r="N18" s="59" t="n">
        <x:f>MAX(0,P18-M18+O18)</x:f>
        <x:v>812</x:v>
      </x:c>
      <x:c r="O18" s="59" t="n">
        <x:f>IF(M18=0,0,MAX(ROUND(M18*IF(P18=0,0,(K18/Assumptions!$C$14+L18/Assumptions!$C$43)/P18),0),M18-P18))</x:f>
        <x:v>170</x:v>
      </x:c>
      <x:c r="P18" s="59" t="n">
        <x:f>K18+L18</x:f>
        <x:v>1632</x:v>
      </x:c>
      <x:c r="Q18" s="60" t="n">
        <x:f>IF(M18=0,0,O18/M18)</x:f>
        <x:v>0.1717171717171717</x:v>
      </x:c>
      <x:c r="R18" s="59" t="n">
        <x:f>ROUNDUP(I18/((Assumptions!$C$12*Assumptions!$C$13)/Assumptions!$C$15),0)</x:f>
        <x:v>33</x:v>
      </x:c>
    </x:row>
    <x:row r="19">
      <x:c r="A19" s="56" t="n">
        <x:v>46692</x:v>
      </x:c>
      <x:c r="B19" s="61" t="n">
        <x:f>Assumptions!$C$35*(1+Assumptions!$C$36)*0.076</x:f>
        <x:v>7219999.99999772</x:v>
      </x:c>
      <x:c r="C19" s="61" t="n">
        <x:f>$B19*Assumptions!$C$51</x:f>
        <x:v>1588399.9999994985</x:v>
      </x:c>
      <x:c r="D19" s="61" t="n">
        <x:f>$B19*Assumptions!$C$52</x:f>
        <x:v>721999.9999997721</x:v>
      </x:c>
      <x:c r="E19" s="61" t="n">
        <x:f>$B19*Assumptions!$C$53</x:f>
        <x:v>577599.9999998176</x:v>
      </x:c>
      <x:c r="F19" s="61" t="n">
        <x:f>$B19*Assumptions!$C$54</x:f>
        <x:v>360999.99999988603</x:v>
      </x:c>
      <x:c r="G19" s="61" t="n">
        <x:f>$B19*Assumptions!$C$55</x:f>
        <x:v>360999.99999988603</x:v>
      </x:c>
      <x:c r="H19" s="61" t="n">
        <x:f>$B19*Assumptions!$C$56</x:f>
        <x:v>577599.9999998176</x:v>
      </x:c>
      <x:c r="I19" s="61" t="n">
        <x:f>$B19*Assumptions!$C$57</x:f>
        <x:v>2671399.999999156</x:v>
      </x:c>
      <x:c r="J19" s="61" t="n">
        <x:f>$B19*Assumptions!$C$58</x:f>
        <x:v>360999.99999988603</x:v>
      </x:c>
      <x:c r="K19" s="59" t="n">
        <x:f>ROUNDUP(C19/Assumptions!$C$7,0)</x:f>
        <x:v>1605</x:v>
      </x:c>
      <x:c r="L19" s="59" t="n">
        <x:f>ROUNDUP(D19/Assumptions!$C$8,0)</x:f>
        <x:v>49</x:v>
      </x:c>
      <x:c r="M19" s="59" t="n">
        <x:f>P18</x:f>
        <x:v>1632</x:v>
      </x:c>
      <x:c r="N19" s="59" t="n">
        <x:f>MAX(0,P19-M19+O19)</x:f>
        <x:v>302</x:v>
      </x:c>
      <x:c r="O19" s="59" t="n">
        <x:f>IF(M19=0,0,MAX(ROUND(M19*IF(P19=0,0,(K19/Assumptions!$C$14+L19/Assumptions!$C$43)/P19),0),M19-P19))</x:f>
        <x:v>280</x:v>
      </x:c>
      <x:c r="P19" s="59" t="n">
        <x:f>K19+L19</x:f>
        <x:v>1654</x:v>
      </x:c>
      <x:c r="Q19" s="60" t="n">
        <x:f>IF(M19=0,0,O19/M19)</x:f>
        <x:v>0.1715686274509804</x:v>
      </x:c>
      <x:c r="R19" s="59" t="n">
        <x:f>ROUNDUP(I19/((Assumptions!$C$12*Assumptions!$C$13)/Assumptions!$C$15),0)</x:f>
        <x:v>34</x:v>
      </x:c>
    </x:row>
    <x:row r="20">
      <x:c r="A20" s="56" t="n">
        <x:v>46722</x:v>
      </x:c>
      <x:c r="B20" s="61" t="n">
        <x:f>Assumptions!$C$35*(1+Assumptions!$C$36)*0.077</x:f>
        <x:v>7314999.99999769</x:v>
      </x:c>
      <x:c r="C20" s="61" t="n">
        <x:f>$B20*Assumptions!$C$51</x:f>
        <x:v>1609299.999999492</x:v>
      </x:c>
      <x:c r="D20" s="61" t="n">
        <x:f>$B20*Assumptions!$C$52</x:f>
        <x:v>731499.999999769</x:v>
      </x:c>
      <x:c r="E20" s="61" t="n">
        <x:f>$B20*Assumptions!$C$53</x:f>
        <x:v>585199.9999998152</x:v>
      </x:c>
      <x:c r="F20" s="61" t="n">
        <x:f>$B20*Assumptions!$C$54</x:f>
        <x:v>365749.9999998845</x:v>
      </x:c>
      <x:c r="G20" s="61" t="n">
        <x:f>$B20*Assumptions!$C$55</x:f>
        <x:v>365749.9999998845</x:v>
      </x:c>
      <x:c r="H20" s="61" t="n">
        <x:f>$B20*Assumptions!$C$56</x:f>
        <x:v>585199.9999998152</x:v>
      </x:c>
      <x:c r="I20" s="61" t="n">
        <x:f>$B20*Assumptions!$C$57</x:f>
        <x:v>2706549.9999991455</x:v>
      </x:c>
      <x:c r="J20" s="61" t="n">
        <x:f>$B20*Assumptions!$C$58</x:f>
        <x:v>365749.9999998845</x:v>
      </x:c>
      <x:c r="K20" s="59" t="n">
        <x:f>ROUNDUP(C20/Assumptions!$C$7,0)</x:f>
        <x:v>1626</x:v>
      </x:c>
      <x:c r="L20" s="59" t="n">
        <x:f>ROUNDUP(D20/Assumptions!$C$8,0)</x:f>
        <x:v>49</x:v>
      </x:c>
      <x:c r="M20" s="59" t="n">
        <x:f>P19</x:f>
        <x:v>1654</x:v>
      </x:c>
      <x:c r="N20" s="59" t="n">
        <x:f>MAX(0,P20-M20+O20)</x:f>
        <x:v>305</x:v>
      </x:c>
      <x:c r="O20" s="59" t="n">
        <x:f>IF(M20=0,0,MAX(ROUND(M20*IF(P20=0,0,(K20/Assumptions!$C$14+L20/Assumptions!$C$43)/P20),0),M20-P20))</x:f>
        <x:v>284</x:v>
      </x:c>
      <x:c r="P20" s="59" t="n">
        <x:f>K20+L20</x:f>
        <x:v>1675</x:v>
      </x:c>
      <x:c r="Q20" s="60" t="n">
        <x:f>IF(M20=0,0,O20/M20)</x:f>
        <x:v>0.1717049576783555</x:v>
      </x:c>
      <x:c r="R20" s="59" t="n">
        <x:f>ROUNDUP(I20/((Assumptions!$C$12*Assumptions!$C$13)/Assumptions!$C$15),0)</x:f>
        <x:v>34</x:v>
      </x:c>
    </x:row>
    <x:row r="21">
      <x:c r="A21" s="56" t="n">
        <x:v>46753</x:v>
      </x:c>
      <x:c r="B21" s="61" t="n">
        <x:f>Assumptions!$C$35*(1+Assumptions!$C$36)*0.079</x:f>
        <x:v>7504999.999997631</x:v>
      </x:c>
      <x:c r="C21" s="61" t="n">
        <x:f>$B21*Assumptions!$C$51</x:f>
        <x:v>1651099.9999994787</x:v>
      </x:c>
      <x:c r="D21" s="61" t="n">
        <x:f>$B21*Assumptions!$C$52</x:f>
        <x:v>750499.9999997631</x:v>
      </x:c>
      <x:c r="E21" s="61" t="n">
        <x:f>$B21*Assumptions!$C$53</x:f>
        <x:v>600399.9999998105</x:v>
      </x:c>
      <x:c r="F21" s="61" t="n">
        <x:f>$B21*Assumptions!$C$54</x:f>
        <x:v>375249.99999988155</x:v>
      </x:c>
      <x:c r="G21" s="61" t="n">
        <x:f>$B21*Assumptions!$C$55</x:f>
        <x:v>375249.99999988155</x:v>
      </x:c>
      <x:c r="H21" s="61" t="n">
        <x:f>$B21*Assumptions!$C$56</x:f>
        <x:v>600399.9999998105</x:v>
      </x:c>
      <x:c r="I21" s="61" t="n">
        <x:f>$B21*Assumptions!$C$57</x:f>
        <x:v>2776849.999999123</x:v>
      </x:c>
      <x:c r="J21" s="61" t="n">
        <x:f>$B21*Assumptions!$C$58</x:f>
        <x:v>375249.99999988155</x:v>
      </x:c>
      <x:c r="K21" s="59" t="n">
        <x:f>ROUNDUP(C21/Assumptions!$C$7,0)</x:f>
        <x:v>1668</x:v>
      </x:c>
      <x:c r="L21" s="59" t="n">
        <x:f>ROUNDUP(D21/Assumptions!$C$8,0)</x:f>
        <x:v>51</x:v>
      </x:c>
      <x:c r="M21" s="59" t="n">
        <x:f>P20</x:f>
        <x:v>1675</x:v>
      </x:c>
      <x:c r="N21" s="59" t="n">
        <x:f>MAX(0,P21-M21+O21)</x:f>
        <x:v>331</x:v>
      </x:c>
      <x:c r="O21" s="59" t="n">
        <x:f>IF(M21=0,0,MAX(ROUND(M21*IF(P21=0,0,(K21/Assumptions!$C$14+L21/Assumptions!$C$43)/P21),0),M21-P21))</x:f>
        <x:v>287</x:v>
      </x:c>
      <x:c r="P21" s="59" t="n">
        <x:f>K21+L21</x:f>
        <x:v>1719</x:v>
      </x:c>
      <x:c r="Q21" s="60" t="n">
        <x:f>IF(M21=0,0,O21/M21)</x:f>
        <x:v>0.17134328358208956</x:v>
      </x:c>
      <x:c r="R21" s="59" t="n">
        <x:f>ROUNDUP(I21/((Assumptions!$C$12*Assumptions!$C$13)/Assumptions!$C$15),0)</x:f>
        <x:v>35</x:v>
      </x:c>
    </x:row>
    <x:row r="22">
      <x:c r="A22" s="56" t="n">
        <x:v>46784</x:v>
      </x:c>
      <x:c r="B22" s="61" t="n">
        <x:f>Assumptions!$C$35*(1+Assumptions!$C$36)*0.08</x:f>
        <x:v>7599999.999997601</x:v>
      </x:c>
      <x:c r="C22" s="61" t="n">
        <x:f>$B22*Assumptions!$C$51</x:f>
        <x:v>1671999.9999994722</x:v>
      </x:c>
      <x:c r="D22" s="61" t="n">
        <x:f>$B22*Assumptions!$C$52</x:f>
        <x:v>759999.9999997602</x:v>
      </x:c>
      <x:c r="E22" s="61" t="n">
        <x:f>$B22*Assumptions!$C$53</x:f>
        <x:v>607999.999999808</x:v>
      </x:c>
      <x:c r="F22" s="61" t="n">
        <x:f>$B22*Assumptions!$C$54</x:f>
        <x:v>379999.9999998801</x:v>
      </x:c>
      <x:c r="G22" s="61" t="n">
        <x:f>$B22*Assumptions!$C$55</x:f>
        <x:v>379999.9999998801</x:v>
      </x:c>
      <x:c r="H22" s="61" t="n">
        <x:f>$B22*Assumptions!$C$56</x:f>
        <x:v>607999.999999808</x:v>
      </x:c>
      <x:c r="I22" s="61" t="n">
        <x:f>$B22*Assumptions!$C$57</x:f>
        <x:v>2811999.9999991124</x:v>
      </x:c>
      <x:c r="J22" s="61" t="n">
        <x:f>$B22*Assumptions!$C$58</x:f>
        <x:v>379999.9999998801</x:v>
      </x:c>
      <x:c r="K22" s="59" t="n">
        <x:f>ROUNDUP(C22/Assumptions!$C$7,0)</x:f>
        <x:v>1689</x:v>
      </x:c>
      <x:c r="L22" s="59" t="n">
        <x:f>ROUNDUP(D22/Assumptions!$C$8,0)</x:f>
        <x:v>51</x:v>
      </x:c>
      <x:c r="M22" s="59" t="n">
        <x:f>P21</x:f>
        <x:v>1719</x:v>
      </x:c>
      <x:c r="N22" s="59" t="n">
        <x:f>MAX(0,P22-M22+O22)</x:f>
        <x:v>316</x:v>
      </x:c>
      <x:c r="O22" s="59" t="n">
        <x:f>IF(M22=0,0,MAX(ROUND(M22*IF(P22=0,0,(K22/Assumptions!$C$14+L22/Assumptions!$C$43)/P22),0),M22-P22))</x:f>
        <x:v>295</x:v>
      </x:c>
      <x:c r="P22" s="59" t="n">
        <x:f>K22+L22</x:f>
        <x:v>1740</x:v>
      </x:c>
      <x:c r="Q22" s="60" t="n">
        <x:f>IF(M22=0,0,O22/M22)</x:f>
        <x:v>0.17161140197789412</x:v>
      </x:c>
      <x:c r="R22" s="59" t="n">
        <x:f>ROUNDUP(I22/((Assumptions!$C$12*Assumptions!$C$13)/Assumptions!$C$15),0)</x:f>
        <x:v>36</x:v>
      </x:c>
    </x:row>
    <x:row r="23">
      <x:c r="A23" s="56" t="n">
        <x:v>46813</x:v>
      </x:c>
      <x:c r="B23" s="61" t="n">
        <x:f>Assumptions!$C$35*(1+Assumptions!$C$36)*0.081</x:f>
        <x:v>7694999.99999757</x:v>
      </x:c>
      <x:c r="C23" s="61" t="n">
        <x:f>$B23*Assumptions!$C$51</x:f>
        <x:v>1692899.9999994654</x:v>
      </x:c>
      <x:c r="D23" s="61" t="n">
        <x:f>$B23*Assumptions!$C$52</x:f>
        <x:v>769499.999999757</x:v>
      </x:c>
      <x:c r="E23" s="61" t="n">
        <x:f>$B23*Assumptions!$C$53</x:f>
        <x:v>615599.9999998056</x:v>
      </x:c>
      <x:c r="F23" s="61" t="n">
        <x:f>$B23*Assumptions!$C$54</x:f>
        <x:v>384749.9999998785</x:v>
      </x:c>
      <x:c r="G23" s="61" t="n">
        <x:f>$B23*Assumptions!$C$55</x:f>
        <x:v>384749.9999998785</x:v>
      </x:c>
      <x:c r="H23" s="61" t="n">
        <x:f>$B23*Assumptions!$C$56</x:f>
        <x:v>615599.9999998056</x:v>
      </x:c>
      <x:c r="I23" s="61" t="n">
        <x:f>$B23*Assumptions!$C$57</x:f>
        <x:v>2847149.999999101</x:v>
      </x:c>
      <x:c r="J23" s="61" t="n">
        <x:f>$B23*Assumptions!$C$58</x:f>
        <x:v>384749.9999998785</x:v>
      </x:c>
      <x:c r="K23" s="59" t="n">
        <x:f>ROUNDUP(C23/Assumptions!$C$7,0)</x:f>
        <x:v>1710</x:v>
      </x:c>
      <x:c r="L23" s="59" t="n">
        <x:f>ROUNDUP(D23/Assumptions!$C$8,0)</x:f>
        <x:v>52</x:v>
      </x:c>
      <x:c r="M23" s="59" t="n">
        <x:f>P22</x:f>
        <x:v>1740</x:v>
      </x:c>
      <x:c r="N23" s="59" t="n">
        <x:f>MAX(0,P23-M23+O23)</x:f>
        <x:v>321</x:v>
      </x:c>
      <x:c r="O23" s="59" t="n">
        <x:f>IF(M23=0,0,MAX(ROUND(M23*IF(P23=0,0,(K23/Assumptions!$C$14+L23/Assumptions!$C$43)/P23),0),M23-P23))</x:f>
        <x:v>299</x:v>
      </x:c>
      <x:c r="P23" s="59" t="n">
        <x:f>K23+L23</x:f>
        <x:v>1762</x:v>
      </x:c>
      <x:c r="Q23" s="60" t="n">
        <x:f>IF(M23=0,0,O23/M23)</x:f>
        <x:v>0.17183908045977012</x:v>
      </x:c>
      <x:c r="R23" s="59" t="n">
        <x:f>ROUNDUP(I23/((Assumptions!$C$12*Assumptions!$C$13)/Assumptions!$C$15),0)</x:f>
        <x:v>36</x:v>
      </x:c>
    </x:row>
    <x:row r="24">
      <x:c r="A24" s="56" t="n">
        <x:v>46844</x:v>
      </x:c>
      <x:c r="B24" s="61" t="n">
        <x:f>Assumptions!$C$35*(1+Assumptions!$C$36)*0.083</x:f>
        <x:v>7884999.999997511</x:v>
      </x:c>
      <x:c r="C24" s="61" t="n">
        <x:f>$B24*Assumptions!$C$51</x:f>
        <x:v>1734699.9999994524</x:v>
      </x:c>
      <x:c r="D24" s="61" t="n">
        <x:f>$B24*Assumptions!$C$52</x:f>
        <x:v>788499.9999997511</x:v>
      </x:c>
      <x:c r="E24" s="61" t="n">
        <x:f>$B24*Assumptions!$C$53</x:f>
        <x:v>630799.9999998008</x:v>
      </x:c>
      <x:c r="F24" s="61" t="n">
        <x:f>$B24*Assumptions!$C$54</x:f>
        <x:v>394249.99999987555</x:v>
      </x:c>
      <x:c r="G24" s="61" t="n">
        <x:f>$B24*Assumptions!$C$55</x:f>
        <x:v>394249.99999987555</x:v>
      </x:c>
      <x:c r="H24" s="61" t="n">
        <x:f>$B24*Assumptions!$C$56</x:f>
        <x:v>630799.9999998008</x:v>
      </x:c>
      <x:c r="I24" s="61" t="n">
        <x:f>$B24*Assumptions!$C$57</x:f>
        <x:v>2917449.999999079</x:v>
      </x:c>
      <x:c r="J24" s="61" t="n">
        <x:f>$B24*Assumptions!$C$58</x:f>
        <x:v>394249.99999987555</x:v>
      </x:c>
      <x:c r="K24" s="59" t="n">
        <x:f>ROUNDUP(C24/Assumptions!$C$7,0)</x:f>
        <x:v>1753</x:v>
      </x:c>
      <x:c r="L24" s="59" t="n">
        <x:f>ROUNDUP(D24/Assumptions!$C$8,0)</x:f>
        <x:v>53</x:v>
      </x:c>
      <x:c r="M24" s="59" t="n">
        <x:f>P23</x:f>
        <x:v>1762</x:v>
      </x:c>
      <x:c r="N24" s="59" t="n">
        <x:f>MAX(0,P24-M24+O24)</x:f>
        <x:v>346</x:v>
      </x:c>
      <x:c r="O24" s="59" t="n">
        <x:f>IF(M24=0,0,MAX(ROUND(M24*IF(P24=0,0,(K24/Assumptions!$C$14+L24/Assumptions!$C$43)/P24),0),M24-P24))</x:f>
        <x:v>302</x:v>
      </x:c>
      <x:c r="P24" s="59" t="n">
        <x:f>K24+L24</x:f>
        <x:v>1806</x:v>
      </x:c>
      <x:c r="Q24" s="60" t="n">
        <x:f>IF(M24=0,0,O24/M24)</x:f>
        <x:v>0.1713961407491487</x:v>
      </x:c>
      <x:c r="R24" s="59" t="n">
        <x:f>ROUNDUP(I24/((Assumptions!$C$12*Assumptions!$C$13)/Assumptions!$C$15),0)</x:f>
        <x:v>37</x:v>
      </x:c>
    </x:row>
    <x:row r="25">
      <x:c r="A25" s="56" t="n">
        <x:v>46874</x:v>
      </x:c>
      <x:c r="B25" s="61" t="n">
        <x:f>Assumptions!$C$35*(1+Assumptions!$C$36)*0.084</x:f>
        <x:v>7979999.999997481</x:v>
      </x:c>
      <x:c r="C25" s="61" t="n">
        <x:f>$B25*Assumptions!$C$51</x:f>
        <x:v>1755599.9999994459</x:v>
      </x:c>
      <x:c r="D25" s="61" t="n">
        <x:f>$B25*Assumptions!$C$52</x:f>
        <x:v>797999.9999997481</x:v>
      </x:c>
      <x:c r="E25" s="61" t="n">
        <x:f>$B25*Assumptions!$C$53</x:f>
        <x:v>638399.9999997985</x:v>
      </x:c>
      <x:c r="F25" s="61" t="n">
        <x:f>$B25*Assumptions!$C$54</x:f>
        <x:v>398999.99999987404</x:v>
      </x:c>
      <x:c r="G25" s="61" t="n">
        <x:f>$B25*Assumptions!$C$55</x:f>
        <x:v>398999.99999987404</x:v>
      </x:c>
      <x:c r="H25" s="61" t="n">
        <x:f>$B25*Assumptions!$C$56</x:f>
        <x:v>638399.9999997985</x:v>
      </x:c>
      <x:c r="I25" s="61" t="n">
        <x:f>$B25*Assumptions!$C$57</x:f>
        <x:v>2952599.9999990677</x:v>
      </x:c>
      <x:c r="J25" s="61" t="n">
        <x:f>$B25*Assumptions!$C$58</x:f>
        <x:v>398999.99999987404</x:v>
      </x:c>
      <x:c r="K25" s="59" t="n">
        <x:f>ROUNDUP(C25/Assumptions!$C$7,0)</x:f>
        <x:v>1774</x:v>
      </x:c>
      <x:c r="L25" s="59" t="n">
        <x:f>ROUNDUP(D25/Assumptions!$C$8,0)</x:f>
        <x:v>54</x:v>
      </x:c>
      <x:c r="M25" s="59" t="n">
        <x:f>P24</x:f>
        <x:v>1806</x:v>
      </x:c>
      <x:c r="N25" s="59" t="n">
        <x:f>MAX(0,P25-M25+O25)</x:f>
        <x:v>332</x:v>
      </x:c>
      <x:c r="O25" s="59" t="n">
        <x:f>IF(M25=0,0,MAX(ROUND(M25*IF(P25=0,0,(K25/Assumptions!$C$14+L25/Assumptions!$C$43)/P25),0),M25-P25))</x:f>
        <x:v>310</x:v>
      </x:c>
      <x:c r="P25" s="59" t="n">
        <x:f>K25+L25</x:f>
        <x:v>1828</x:v>
      </x:c>
      <x:c r="Q25" s="60" t="n">
        <x:f>IF(M25=0,0,O25/M25)</x:f>
        <x:v>0.1716500553709856</x:v>
      </x:c>
      <x:c r="R25" s="59" t="n">
        <x:f>ROUNDUP(I25/((Assumptions!$C$12*Assumptions!$C$13)/Assumptions!$C$15),0)</x:f>
        <x:v>37</x:v>
      </x:c>
    </x:row>
    <x:row r="26">
      <x:c r="A26" s="56" t="n">
        <x:v>46905</x:v>
      </x:c>
      <x:c r="B26" s="61" t="n">
        <x:f>Assumptions!$C$35*(1+Assumptions!$C$36)*0.086</x:f>
        <x:v>8169999.999997419</x:v>
      </x:c>
      <x:c r="C26" s="61" t="n">
        <x:f>$B26*Assumptions!$C$51</x:f>
        <x:v>1797399.9999994324</x:v>
      </x:c>
      <x:c r="D26" s="61" t="n">
        <x:f>$B26*Assumptions!$C$52</x:f>
        <x:v>816999.999999742</x:v>
      </x:c>
      <x:c r="E26" s="61" t="n">
        <x:f>$B26*Assumptions!$C$53</x:f>
        <x:v>653599.9999997936</x:v>
      </x:c>
      <x:c r="F26" s="61" t="n">
        <x:f>$B26*Assumptions!$C$54</x:f>
        <x:v>408499.999999871</x:v>
      </x:c>
      <x:c r="G26" s="61" t="n">
        <x:f>$B26*Assumptions!$C$55</x:f>
        <x:v>408499.999999871</x:v>
      </x:c>
      <x:c r="H26" s="61" t="n">
        <x:f>$B26*Assumptions!$C$56</x:f>
        <x:v>653599.9999997936</x:v>
      </x:c>
      <x:c r="I26" s="61" t="n">
        <x:f>$B26*Assumptions!$C$57</x:f>
        <x:v>3022899.999999045</x:v>
      </x:c>
      <x:c r="J26" s="61" t="n">
        <x:f>$B26*Assumptions!$C$58</x:f>
        <x:v>408499.999999871</x:v>
      </x:c>
      <x:c r="K26" s="59" t="n">
        <x:f>ROUNDUP(C26/Assumptions!$C$7,0)</x:f>
        <x:v>1816</x:v>
      </x:c>
      <x:c r="L26" s="59" t="n">
        <x:f>ROUNDUP(D26/Assumptions!$C$8,0)</x:f>
        <x:v>55</x:v>
      </x:c>
      <x:c r="M26" s="59" t="n">
        <x:f>P25</x:f>
        <x:v>1828</x:v>
      </x:c>
      <x:c r="N26" s="59" t="n">
        <x:f>MAX(0,P26-M26+O26)</x:f>
        <x:v>357</x:v>
      </x:c>
      <x:c r="O26" s="59" t="n">
        <x:f>IF(M26=0,0,MAX(ROUND(M26*IF(P26=0,0,(K26/Assumptions!$C$14+L26/Assumptions!$C$43)/P26),0),M26-P26))</x:f>
        <x:v>314</x:v>
      </x:c>
      <x:c r="P26" s="59" t="n">
        <x:f>K26+L26</x:f>
        <x:v>1871</x:v>
      </x:c>
      <x:c r="Q26" s="60" t="n">
        <x:f>IF(M26=0,0,O26/M26)</x:f>
        <x:v>0.17177242888402625</x:v>
      </x:c>
      <x:c r="R26" s="59" t="n">
        <x:f>ROUNDUP(I26/((Assumptions!$C$12*Assumptions!$C$13)/Assumptions!$C$15),0)</x:f>
        <x:v>38</x:v>
      </x:c>
    </x:row>
    <x:row r="27">
      <x:c r="A27" s="56" t="n">
        <x:v>46935</x:v>
      </x:c>
      <x:c r="B27" s="61" t="n">
        <x:f>Assumptions!$C$35*(1+Assumptions!$C$36)*0.088</x:f>
        <x:v>8359999.99999736</x:v>
      </x:c>
      <x:c r="C27" s="61" t="n">
        <x:f>$B27*Assumptions!$C$51</x:f>
        <x:v>1839199.999999419</x:v>
      </x:c>
      <x:c r="D27" s="61" t="n">
        <x:f>$B27*Assumptions!$C$52</x:f>
        <x:v>835999.999999736</x:v>
      </x:c>
      <x:c r="E27" s="61" t="n">
        <x:f>$B27*Assumptions!$C$53</x:f>
        <x:v>668799.9999997888</x:v>
      </x:c>
      <x:c r="F27" s="61" t="n">
        <x:f>$B27*Assumptions!$C$54</x:f>
        <x:v>417999.999999868</x:v>
      </x:c>
      <x:c r="G27" s="61" t="n">
        <x:f>$B27*Assumptions!$C$55</x:f>
        <x:v>417999.999999868</x:v>
      </x:c>
      <x:c r="H27" s="61" t="n">
        <x:f>$B27*Assumptions!$C$56</x:f>
        <x:v>668799.9999997888</x:v>
      </x:c>
      <x:c r="I27" s="61" t="n">
        <x:f>$B27*Assumptions!$C$57</x:f>
        <x:v>3093199.999999023</x:v>
      </x:c>
      <x:c r="J27" s="61" t="n">
        <x:f>$B27*Assumptions!$C$58</x:f>
        <x:v>417999.999999868</x:v>
      </x:c>
      <x:c r="K27" s="59" t="n">
        <x:f>ROUNDUP(C27/Assumptions!$C$7,0)</x:f>
        <x:v>1858</x:v>
      </x:c>
      <x:c r="L27" s="59" t="n">
        <x:f>ROUNDUP(D27/Assumptions!$C$8,0)</x:f>
        <x:v>56</x:v>
      </x:c>
      <x:c r="M27" s="59" t="n">
        <x:f>P26</x:f>
        <x:v>1871</x:v>
      </x:c>
      <x:c r="N27" s="59" t="n">
        <x:f>MAX(0,P27-M27+O27)</x:f>
        <x:v>364</x:v>
      </x:c>
      <x:c r="O27" s="59" t="n">
        <x:f>IF(M27=0,0,MAX(ROUND(M27*IF(P27=0,0,(K27/Assumptions!$C$14+L27/Assumptions!$C$43)/P27),0),M27-P27))</x:f>
        <x:v>321</x:v>
      </x:c>
      <x:c r="P27" s="59" t="n">
        <x:f>K27+L27</x:f>
        <x:v>1914</x:v>
      </x:c>
      <x:c r="Q27" s="60" t="n">
        <x:f>IF(M27=0,0,O27/M27)</x:f>
        <x:v>0.17156600748262962</x:v>
      </x:c>
      <x:c r="R27" s="59" t="n">
        <x:f>ROUNDUP(I27/((Assumptions!$C$12*Assumptions!$C$13)/Assumptions!$C$15),0)</x:f>
        <x:v>39</x:v>
      </x:c>
    </x:row>
    <x:row r="28">
      <x:c r="A28" s="56" t="n">
        <x:v>46966</x:v>
      </x:c>
      <x:c r="B28" s="61" t="n">
        <x:f>Assumptions!$C$35*(1+Assumptions!$C$36)*0.094</x:f>
        <x:v>8929999.99999718</x:v>
      </x:c>
      <x:c r="C28" s="61" t="n">
        <x:f>$B28*Assumptions!$C$51</x:f>
        <x:v>1964599.9999993795</x:v>
      </x:c>
      <x:c r="D28" s="61" t="n">
        <x:f>$B28*Assumptions!$C$52</x:f>
        <x:v>892999.999999718</x:v>
      </x:c>
      <x:c r="E28" s="61" t="n">
        <x:f>$B28*Assumptions!$C$53</x:f>
        <x:v>714399.9999997744</x:v>
      </x:c>
      <x:c r="F28" s="61" t="n">
        <x:f>$B28*Assumptions!$C$54</x:f>
        <x:v>446499.999999859</x:v>
      </x:c>
      <x:c r="G28" s="61" t="n">
        <x:f>$B28*Assumptions!$C$55</x:f>
        <x:v>446499.999999859</x:v>
      </x:c>
      <x:c r="H28" s="61" t="n">
        <x:f>$B28*Assumptions!$C$56</x:f>
        <x:v>714399.9999997744</x:v>
      </x:c>
      <x:c r="I28" s="61" t="n">
        <x:f>$B28*Assumptions!$C$57</x:f>
        <x:v>3304099.9999989565</x:v>
      </x:c>
      <x:c r="J28" s="61" t="n">
        <x:f>$B28*Assumptions!$C$58</x:f>
        <x:v>446499.999999859</x:v>
      </x:c>
      <x:c r="K28" s="59" t="n">
        <x:f>ROUNDUP(C28/Assumptions!$C$7,0)</x:f>
        <x:v>1985</x:v>
      </x:c>
      <x:c r="L28" s="59" t="n">
        <x:f>ROUNDUP(D28/Assumptions!$C$8,0)</x:f>
        <x:v>60</x:v>
      </x:c>
      <x:c r="M28" s="59" t="n">
        <x:f>P27</x:f>
        <x:v>1914</x:v>
      </x:c>
      <x:c r="N28" s="59" t="n">
        <x:f>MAX(0,P28-M28+O28)</x:f>
        <x:v>459</x:v>
      </x:c>
      <x:c r="O28" s="59" t="n">
        <x:f>IF(M28=0,0,MAX(ROUND(M28*IF(P28=0,0,(K28/Assumptions!$C$14+L28/Assumptions!$C$43)/P28),0),M28-P28))</x:f>
        <x:v>328</x:v>
      </x:c>
      <x:c r="P28" s="59" t="n">
        <x:f>K28+L28</x:f>
        <x:v>2045</x:v>
      </x:c>
      <x:c r="Q28" s="60" t="n">
        <x:f>IF(M28=0,0,O28/M28)</x:f>
        <x:v>0.17136886102403343</x:v>
      </x:c>
      <x:c r="R28" s="59" t="n">
        <x:f>ROUNDUP(I28/((Assumptions!$C$12*Assumptions!$C$13)/Assumptions!$C$15),0)</x:f>
        <x:v>42</x:v>
      </x:c>
    </x:row>
    <x:row r="29">
      <x:c r="A29" s="56" t="n">
        <x:v>46997</x:v>
      </x:c>
      <x:c r="B29" s="61" t="n">
        <x:f>Assumptions!$C$35*(1+Assumptions!$C$36)*0.097</x:f>
        <x:v>9214999.99999709</x:v>
      </x:c>
      <x:c r="C29" s="61" t="n">
        <x:f>$B29*Assumptions!$C$51</x:f>
        <x:v>2027299.99999936</x:v>
      </x:c>
      <x:c r="D29" s="61" t="n">
        <x:f>$B29*Assumptions!$C$52</x:f>
        <x:v>921499.9999997091</x:v>
      </x:c>
      <x:c r="E29" s="61" t="n">
        <x:f>$B29*Assumptions!$C$53</x:f>
        <x:v>737199.9999997673</x:v>
      </x:c>
      <x:c r="F29" s="61" t="n">
        <x:f>$B29*Assumptions!$C$54</x:f>
        <x:v>460749.99999985454</x:v>
      </x:c>
      <x:c r="G29" s="61" t="n">
        <x:f>$B29*Assumptions!$C$55</x:f>
        <x:v>460749.99999985454</x:v>
      </x:c>
      <x:c r="H29" s="61" t="n">
        <x:f>$B29*Assumptions!$C$56</x:f>
        <x:v>737199.9999997673</x:v>
      </x:c>
      <x:c r="I29" s="61" t="n">
        <x:f>$B29*Assumptions!$C$57</x:f>
        <x:v>3409549.9999989234</x:v>
      </x:c>
      <x:c r="J29" s="61" t="n">
        <x:f>$B29*Assumptions!$C$58</x:f>
        <x:v>460749.99999985454</x:v>
      </x:c>
      <x:c r="K29" s="59" t="n">
        <x:f>ROUNDUP(C29/Assumptions!$C$7,0)</x:f>
        <x:v>2048</x:v>
      </x:c>
      <x:c r="L29" s="59" t="n">
        <x:f>ROUNDUP(D29/Assumptions!$C$8,0)</x:f>
        <x:v>62</x:v>
      </x:c>
      <x:c r="M29" s="59" t="n">
        <x:f>P28</x:f>
        <x:v>2045</x:v>
      </x:c>
      <x:c r="N29" s="59" t="n">
        <x:f>MAX(0,P29-M29+O29)</x:f>
        <x:v>416</x:v>
      </x:c>
      <x:c r="O29" s="59" t="n">
        <x:f>IF(M29=0,0,MAX(ROUND(M29*IF(P29=0,0,(K29/Assumptions!$C$14+L29/Assumptions!$C$43)/P29),0),M29-P29))</x:f>
        <x:v>351</x:v>
      </x:c>
      <x:c r="P29" s="59" t="n">
        <x:f>K29+L29</x:f>
        <x:v>2110</x:v>
      </x:c>
      <x:c r="Q29" s="60" t="n">
        <x:f>IF(M29=0,0,O29/M29)</x:f>
        <x:v>0.17163814180929096</x:v>
      </x:c>
      <x:c r="R29" s="59" t="n">
        <x:f>ROUNDUP(I29/((Assumptions!$C$12*Assumptions!$C$13)/Assumptions!$C$15),0)</x:f>
        <x:v>43</x:v>
      </x:c>
    </x:row>
    <x:row r="30">
      <x:c r="A30" s="56" t="n">
        <x:v>47027</x:v>
      </x:c>
      <x:c r="B30" s="61" t="n">
        <x:f>Assumptions!$C$35*(1+Assumptions!$C$36)*(1+Assumptions!$C$37)*0.075</x:f>
        <x:v>10499999.999994434</x:v>
      </x:c>
      <x:c r="C30" s="61" t="n">
        <x:f>$B30*Assumptions!$D$51</x:f>
        <x:v>3359999.9999982193</x:v>
      </x:c>
      <x:c r="D30" s="61" t="n">
        <x:f>$B30*Assumptions!$D$52</x:f>
        <x:v>1259999.999999332</x:v>
      </x:c>
      <x:c r="E30" s="61" t="n">
        <x:f>$B30*Assumptions!$D$53</x:f>
        <x:v>1049999.9999994435</x:v>
      </x:c>
      <x:c r="F30" s="61" t="n">
        <x:f>$B30*Assumptions!$D$54</x:f>
        <x:v>629999.999999666</x:v>
      </x:c>
      <x:c r="G30" s="61" t="n">
        <x:f>$B30*Assumptions!$D$55</x:f>
        <x:v>524999.9999997218</x:v>
      </x:c>
      <x:c r="H30" s="61" t="n">
        <x:f>$B30*Assumptions!$D$56</x:f>
        <x:v>629999.999999666</x:v>
      </x:c>
      <x:c r="I30" s="61" t="n">
        <x:f>$B30*Assumptions!$D$57</x:f>
        <x:v>2519999.999998664</x:v>
      </x:c>
      <x:c r="J30" s="61" t="n">
        <x:f>$B30*Assumptions!$D$58</x:f>
        <x:v>524999.9999997218</x:v>
      </x:c>
      <x:c r="K30" s="59" t="n">
        <x:f>ROUNDUP(C30/Assumptions!$C$7,0)</x:f>
        <x:v>3394</x:v>
      </x:c>
      <x:c r="L30" s="59" t="n">
        <x:f>ROUNDUP(D30/Assumptions!$C$8,0)</x:f>
        <x:v>85</x:v>
      </x:c>
      <x:c r="M30" s="59" t="n">
        <x:f>P29</x:f>
        <x:v>2110</x:v>
      </x:c>
      <x:c r="N30" s="59" t="n">
        <x:f>MAX(0,P30-M30+O30)</x:f>
        <x:v>1729</x:v>
      </x:c>
      <x:c r="O30" s="59" t="n">
        <x:f>IF(M30=0,0,MAX(ROUND(M30*IF(P30=0,0,(K30/Assumptions!$C$14+L30/Assumptions!$C$43)/P30),0),M30-P30))</x:f>
        <x:v>360</x:v>
      </x:c>
      <x:c r="P30" s="59" t="n">
        <x:f>K30+L30</x:f>
        <x:v>3479</x:v>
      </x:c>
      <x:c r="Q30" s="60" t="n">
        <x:f>IF(M30=0,0,O30/M30)</x:f>
        <x:v>0.17061611374407584</x:v>
      </x:c>
      <x:c r="R30" s="59" t="n">
        <x:f>ROUNDUP(I30/((Assumptions!$C$12*Assumptions!$C$13)/Assumptions!$C$15),0)</x:f>
        <x:v>32</x:v>
      </x:c>
    </x:row>
    <x:row r="31">
      <x:c r="A31" s="56" t="n">
        <x:v>47058</x:v>
      </x:c>
      <x:c r="B31" s="61" t="n">
        <x:f>Assumptions!$C$35*(1+Assumptions!$C$36)*(1+Assumptions!$C$37)*0.076</x:f>
        <x:v>10639999.99999436</x:v>
      </x:c>
      <x:c r="C31" s="61" t="n">
        <x:f>$B31*Assumptions!$D$51</x:f>
        <x:v>3404799.999998195</x:v>
      </x:c>
      <x:c r="D31" s="61" t="n">
        <x:f>$B31*Assumptions!$D$52</x:f>
        <x:v>1276799.9999993232</x:v>
      </x:c>
      <x:c r="E31" s="61" t="n">
        <x:f>$B31*Assumptions!$D$53</x:f>
        <x:v>1063999.999999436</x:v>
      </x:c>
      <x:c r="F31" s="61" t="n">
        <x:f>$B31*Assumptions!$D$54</x:f>
        <x:v>638399.9999996616</x:v>
      </x:c>
      <x:c r="G31" s="61" t="n">
        <x:f>$B31*Assumptions!$D$55</x:f>
        <x:v>531999.999999718</x:v>
      </x:c>
      <x:c r="H31" s="61" t="n">
        <x:f>$B31*Assumptions!$D$56</x:f>
        <x:v>638399.9999996616</x:v>
      </x:c>
      <x:c r="I31" s="61" t="n">
        <x:f>$B31*Assumptions!$D$57</x:f>
        <x:v>2553599.9999986463</x:v>
      </x:c>
      <x:c r="J31" s="61" t="n">
        <x:f>$B31*Assumptions!$D$58</x:f>
        <x:v>531999.999999718</x:v>
      </x:c>
      <x:c r="K31" s="59" t="n">
        <x:f>ROUNDUP(C31/Assumptions!$C$7,0)</x:f>
        <x:v>3440</x:v>
      </x:c>
      <x:c r="L31" s="59" t="n">
        <x:f>ROUNDUP(D31/Assumptions!$C$8,0)</x:f>
        <x:v>86</x:v>
      </x:c>
      <x:c r="M31" s="59" t="n">
        <x:f>P30</x:f>
        <x:v>3479</x:v>
      </x:c>
      <x:c r="N31" s="59" t="n">
        <x:f>MAX(0,P31-M31+O31)</x:f>
        <x:v>641</x:v>
      </x:c>
      <x:c r="O31" s="59" t="n">
        <x:f>IF(M31=0,0,MAX(ROUND(M31*IF(P31=0,0,(K31/Assumptions!$C$14+L31/Assumptions!$C$43)/P31),0),M31-P31))</x:f>
        <x:v>594</x:v>
      </x:c>
      <x:c r="P31" s="59" t="n">
        <x:f>K31+L31</x:f>
        <x:v>3526</x:v>
      </x:c>
      <x:c r="Q31" s="60" t="n">
        <x:f>IF(M31=0,0,O31/M31)</x:f>
        <x:v>0.17073871802242024</x:v>
      </x:c>
      <x:c r="R31" s="59" t="n">
        <x:f>ROUNDUP(I31/((Assumptions!$C$12*Assumptions!$C$13)/Assumptions!$C$15),0)</x:f>
        <x:v>32</x:v>
      </x:c>
    </x:row>
    <x:row r="32">
      <x:c r="A32" s="56" t="n">
        <x:v>47088</x:v>
      </x:c>
      <x:c r="B32" s="61" t="n">
        <x:f>Assumptions!$C$35*(1+Assumptions!$C$36)*(1+Assumptions!$C$37)*0.077</x:f>
        <x:v>10779999.999994285</x:v>
      </x:c>
      <x:c r="C32" s="61" t="n">
        <x:f>$B32*Assumptions!$D$51</x:f>
        <x:v>3449599.9999981713</x:v>
      </x:c>
      <x:c r="D32" s="61" t="n">
        <x:f>$B32*Assumptions!$D$52</x:f>
        <x:v>1293599.9999993143</x:v>
      </x:c>
      <x:c r="E32" s="61" t="n">
        <x:f>$B32*Assumptions!$D$53</x:f>
        <x:v>1077999.9999994286</x:v>
      </x:c>
      <x:c r="F32" s="61" t="n">
        <x:f>$B32*Assumptions!$D$54</x:f>
        <x:v>646799.9999996572</x:v>
      </x:c>
      <x:c r="G32" s="61" t="n">
        <x:f>$B32*Assumptions!$D$55</x:f>
        <x:v>538999.9999997143</x:v>
      </x:c>
      <x:c r="H32" s="61" t="n">
        <x:f>$B32*Assumptions!$D$56</x:f>
        <x:v>646799.9999996572</x:v>
      </x:c>
      <x:c r="I32" s="61" t="n">
        <x:f>$B32*Assumptions!$D$57</x:f>
        <x:v>2587199.9999986286</x:v>
      </x:c>
      <x:c r="J32" s="61" t="n">
        <x:f>$B32*Assumptions!$D$58</x:f>
        <x:v>538999.9999997143</x:v>
      </x:c>
      <x:c r="K32" s="59" t="n">
        <x:f>ROUNDUP(C32/Assumptions!$C$7,0)</x:f>
        <x:v>3485</x:v>
      </x:c>
      <x:c r="L32" s="59" t="n">
        <x:f>ROUNDUP(D32/Assumptions!$C$8,0)</x:f>
        <x:v>87</x:v>
      </x:c>
      <x:c r="M32" s="59" t="n">
        <x:f>P31</x:f>
        <x:v>3526</x:v>
      </x:c>
      <x:c r="N32" s="59" t="n">
        <x:f>MAX(0,P32-M32+O32)</x:f>
        <x:v>648</x:v>
      </x:c>
      <x:c r="O32" s="59" t="n">
        <x:f>IF(M32=0,0,MAX(ROUND(M32*IF(P32=0,0,(K32/Assumptions!$C$14+L32/Assumptions!$C$43)/P32),0),M32-P32))</x:f>
        <x:v>602</x:v>
      </x:c>
      <x:c r="P32" s="59" t="n">
        <x:f>K32+L32</x:f>
        <x:v>3572</x:v>
      </x:c>
      <x:c r="Q32" s="60" t="n">
        <x:f>IF(M32=0,0,O32/M32)</x:f>
        <x:v>0.17073170731707318</x:v>
      </x:c>
      <x:c r="R32" s="59" t="n">
        <x:f>ROUNDUP(I32/((Assumptions!$C$12*Assumptions!$C$13)/Assumptions!$C$15),0)</x:f>
        <x:v>33</x:v>
      </x:c>
    </x:row>
    <x:row r="33">
      <x:c r="A33" s="56" t="n">
        <x:v>47119</x:v>
      </x:c>
      <x:c r="B33" s="61" t="n">
        <x:f>Assumptions!$C$35*(1+Assumptions!$C$36)*(1+Assumptions!$C$37)*0.079</x:f>
        <x:v>11059999.999994138</x:v>
      </x:c>
      <x:c r="C33" s="61" t="n">
        <x:f>$B33*Assumptions!$D$51</x:f>
        <x:v>3539199.9999981243</x:v>
      </x:c>
      <x:c r="D33" s="61" t="n">
        <x:f>$B33*Assumptions!$D$52</x:f>
        <x:v>1327199.9999992966</x:v>
      </x:c>
      <x:c r="E33" s="61" t="n">
        <x:f>$B33*Assumptions!$D$53</x:f>
        <x:v>1105999.999999414</x:v>
      </x:c>
      <x:c r="F33" s="61" t="n">
        <x:f>$B33*Assumptions!$D$54</x:f>
        <x:v>663599.9999996483</x:v>
      </x:c>
      <x:c r="G33" s="61" t="n">
        <x:f>$B33*Assumptions!$D$55</x:f>
        <x:v>552999.999999707</x:v>
      </x:c>
      <x:c r="H33" s="61" t="n">
        <x:f>$B33*Assumptions!$D$56</x:f>
        <x:v>663599.9999996483</x:v>
      </x:c>
      <x:c r="I33" s="61" t="n">
        <x:f>$B33*Assumptions!$D$57</x:f>
        <x:v>2654399.9999985932</x:v>
      </x:c>
      <x:c r="J33" s="61" t="n">
        <x:f>$B33*Assumptions!$D$58</x:f>
        <x:v>552999.999999707</x:v>
      </x:c>
      <x:c r="K33" s="59" t="n">
        <x:f>ROUNDUP(C33/Assumptions!$C$7,0)</x:f>
        <x:v>3575</x:v>
      </x:c>
      <x:c r="L33" s="59" t="n">
        <x:f>ROUNDUP(D33/Assumptions!$C$8,0)</x:f>
        <x:v>89</x:v>
      </x:c>
      <x:c r="M33" s="59" t="n">
        <x:f>P32</x:f>
        <x:v>3572</x:v>
      </x:c>
      <x:c r="N33" s="59" t="n">
        <x:f>MAX(0,P33-M33+O33)</x:f>
        <x:v>702</x:v>
      </x:c>
      <x:c r="O33" s="59" t="n">
        <x:f>IF(M33=0,0,MAX(ROUND(M33*IF(P33=0,0,(K33/Assumptions!$C$14+L33/Assumptions!$C$43)/P33),0),M33-P33))</x:f>
        <x:v>610</x:v>
      </x:c>
      <x:c r="P33" s="59" t="n">
        <x:f>K33+L33</x:f>
        <x:v>3664</x:v>
      </x:c>
      <x:c r="Q33" s="60" t="n">
        <x:f>IF(M33=0,0,O33/M33)</x:f>
        <x:v>0.1707726763717805</x:v>
      </x:c>
      <x:c r="R33" s="59" t="n">
        <x:f>ROUNDUP(I33/((Assumptions!$C$12*Assumptions!$C$13)/Assumptions!$C$15),0)</x:f>
        <x:v>34</x:v>
      </x:c>
    </x:row>
    <x:row r="34">
      <x:c r="A34" s="56" t="n">
        <x:v>47150</x:v>
      </x:c>
      <x:c r="B34" s="61" t="n">
        <x:f>Assumptions!$C$35*(1+Assumptions!$C$36)*(1+Assumptions!$C$37)*0.08</x:f>
        <x:v>11199999.999994064</x:v>
      </x:c>
      <x:c r="C34" s="61" t="n">
        <x:f>$B34*Assumptions!$D$51</x:f>
        <x:v>3583999.9999981006</x:v>
      </x:c>
      <x:c r="D34" s="61" t="n">
        <x:f>$B34*Assumptions!$D$52</x:f>
        <x:v>1343999.9999992875</x:v>
      </x:c>
      <x:c r="E34" s="61" t="n">
        <x:f>$B34*Assumptions!$D$53</x:f>
        <x:v>1119999.9999994065</x:v>
      </x:c>
      <x:c r="F34" s="61" t="n">
        <x:f>$B34*Assumptions!$D$54</x:f>
        <x:v>671999.9999996438</x:v>
      </x:c>
      <x:c r="G34" s="61" t="n">
        <x:f>$B34*Assumptions!$D$55</x:f>
        <x:v>559999.9999997033</x:v>
      </x:c>
      <x:c r="H34" s="61" t="n">
        <x:f>$B34*Assumptions!$D$56</x:f>
        <x:v>671999.9999996438</x:v>
      </x:c>
      <x:c r="I34" s="61" t="n">
        <x:f>$B34*Assumptions!$D$57</x:f>
        <x:v>2687999.999998575</x:v>
      </x:c>
      <x:c r="J34" s="61" t="n">
        <x:f>$B34*Assumptions!$D$58</x:f>
        <x:v>559999.9999997033</x:v>
      </x:c>
      <x:c r="K34" s="59" t="n">
        <x:f>ROUNDUP(C34/Assumptions!$C$7,0)</x:f>
        <x:v>3621</x:v>
      </x:c>
      <x:c r="L34" s="59" t="n">
        <x:f>ROUNDUP(D34/Assumptions!$C$8,0)</x:f>
        <x:v>90</x:v>
      </x:c>
      <x:c r="M34" s="59" t="n">
        <x:f>P33</x:f>
        <x:v>3664</x:v>
      </x:c>
      <x:c r="N34" s="59" t="n">
        <x:f>MAX(0,P34-M34+O34)</x:f>
        <x:v>672</x:v>
      </x:c>
      <x:c r="O34" s="59" t="n">
        <x:f>IF(M34=0,0,MAX(ROUND(M34*IF(P34=0,0,(K34/Assumptions!$C$14+L34/Assumptions!$C$43)/P34),0),M34-P34))</x:f>
        <x:v>625</x:v>
      </x:c>
      <x:c r="P34" s="59" t="n">
        <x:f>K34+L34</x:f>
        <x:v>3711</x:v>
      </x:c>
      <x:c r="Q34" s="60" t="n">
        <x:f>IF(M34=0,0,O34/M34)</x:f>
        <x:v>0.17057860262008734</x:v>
      </x:c>
      <x:c r="R34" s="59" t="n">
        <x:f>ROUNDUP(I34/((Assumptions!$C$12*Assumptions!$C$13)/Assumptions!$C$15),0)</x:f>
        <x:v>34</x:v>
      </x:c>
    </x:row>
    <x:row r="35">
      <x:c r="A35" s="56" t="n">
        <x:v>47178</x:v>
      </x:c>
      <x:c r="B35" s="61" t="n">
        <x:f>Assumptions!$C$35*(1+Assumptions!$C$36)*(1+Assumptions!$C$37)*0.081</x:f>
        <x:v>11339999.99999399</x:v>
      </x:c>
      <x:c r="C35" s="61" t="n">
        <x:f>$B35*Assumptions!$D$51</x:f>
        <x:v>3628799.999998077</x:v>
      </x:c>
      <x:c r="D35" s="61" t="n">
        <x:f>$B35*Assumptions!$D$52</x:f>
        <x:v>1360799.9999992787</x:v>
      </x:c>
      <x:c r="E35" s="61" t="n">
        <x:f>$B35*Assumptions!$D$53</x:f>
        <x:v>1133999.999999399</x:v>
      </x:c>
      <x:c r="F35" s="61" t="n">
        <x:f>$B35*Assumptions!$D$54</x:f>
        <x:v>680399.9999996393</x:v>
      </x:c>
      <x:c r="G35" s="61" t="n">
        <x:f>$B35*Assumptions!$D$55</x:f>
        <x:v>566999.9999996995</x:v>
      </x:c>
      <x:c r="H35" s="61" t="n">
        <x:f>$B35*Assumptions!$D$56</x:f>
        <x:v>680399.9999996393</x:v>
      </x:c>
      <x:c r="I35" s="61" t="n">
        <x:f>$B35*Assumptions!$D$57</x:f>
        <x:v>2721599.9999985574</x:v>
      </x:c>
      <x:c r="J35" s="61" t="n">
        <x:f>$B35*Assumptions!$D$58</x:f>
        <x:v>566999.9999996995</x:v>
      </x:c>
      <x:c r="K35" s="59" t="n">
        <x:f>ROUNDUP(C35/Assumptions!$C$7,0)</x:f>
        <x:v>3666</x:v>
      </x:c>
      <x:c r="L35" s="59" t="n">
        <x:f>ROUNDUP(D35/Assumptions!$C$8,0)</x:f>
        <x:v>91</x:v>
      </x:c>
      <x:c r="M35" s="59" t="n">
        <x:f>P34</x:f>
        <x:v>3711</x:v>
      </x:c>
      <x:c r="N35" s="59" t="n">
        <x:f>MAX(0,P35-M35+O35)</x:f>
        <x:v>679</x:v>
      </x:c>
      <x:c r="O35" s="59" t="n">
        <x:f>IF(M35=0,0,MAX(ROUND(M35*IF(P35=0,0,(K35/Assumptions!$C$14+L35/Assumptions!$C$43)/P35),0),M35-P35))</x:f>
        <x:v>633</x:v>
      </x:c>
      <x:c r="P35" s="59" t="n">
        <x:f>K35+L35</x:f>
        <x:v>3757</x:v>
      </x:c>
      <x:c r="Q35" s="60" t="n">
        <x:f>IF(M35=0,0,O35/M35)</x:f>
        <x:v>0.17057396928051738</x:v>
      </x:c>
      <x:c r="R35" s="59" t="n">
        <x:f>ROUNDUP(I35/((Assumptions!$C$12*Assumptions!$C$13)/Assumptions!$C$15),0)</x:f>
        <x:v>35</x:v>
      </x:c>
    </x:row>
    <x:row r="36">
      <x:c r="A36" s="56" t="n">
        <x:v>47209</x:v>
      </x:c>
      <x:c r="B36" s="61" t="n">
        <x:f>Assumptions!$C$35*(1+Assumptions!$C$36)*(1+Assumptions!$C$37)*0.083</x:f>
        <x:v>11619999.999993842</x:v>
      </x:c>
      <x:c r="C36" s="61" t="n">
        <x:f>$B36*Assumptions!$D$51</x:f>
        <x:v>3718399.9999980293</x:v>
      </x:c>
      <x:c r="D36" s="61" t="n">
        <x:f>$B36*Assumptions!$D$52</x:f>
        <x:v>1394399.999999261</x:v>
      </x:c>
      <x:c r="E36" s="61" t="n">
        <x:f>$B36*Assumptions!$D$53</x:f>
        <x:v>1161999.9999993842</x:v>
      </x:c>
      <x:c r="F36" s="61" t="n">
        <x:f>$B36*Assumptions!$D$54</x:f>
        <x:v>697199.9999996305</x:v>
      </x:c>
      <x:c r="G36" s="61" t="n">
        <x:f>$B36*Assumptions!$D$55</x:f>
        <x:v>580999.9999996921</x:v>
      </x:c>
      <x:c r="H36" s="61" t="n">
        <x:f>$B36*Assumptions!$D$56</x:f>
        <x:v>697199.9999996305</x:v>
      </x:c>
      <x:c r="I36" s="61" t="n">
        <x:f>$B36*Assumptions!$D$57</x:f>
        <x:v>2788799.999998522</x:v>
      </x:c>
      <x:c r="J36" s="61" t="n">
        <x:f>$B36*Assumptions!$D$58</x:f>
        <x:v>580999.9999996921</x:v>
      </x:c>
      <x:c r="K36" s="59" t="n">
        <x:f>ROUNDUP(C36/Assumptions!$C$7,0)</x:f>
        <x:v>3756</x:v>
      </x:c>
      <x:c r="L36" s="59" t="n">
        <x:f>ROUNDUP(D36/Assumptions!$C$8,0)</x:f>
        <x:v>94</x:v>
      </x:c>
      <x:c r="M36" s="59" t="n">
        <x:f>P35</x:f>
        <x:v>3757</x:v>
      </x:c>
      <x:c r="N36" s="59" t="n">
        <x:f>MAX(0,P36-M36+O36)</x:f>
        <x:v>734</x:v>
      </x:c>
      <x:c r="O36" s="59" t="n">
        <x:f>IF(M36=0,0,MAX(ROUND(M36*IF(P36=0,0,(K36/Assumptions!$C$14+L36/Assumptions!$C$43)/P36),0),M36-P36))</x:f>
        <x:v>641</x:v>
      </x:c>
      <x:c r="P36" s="59" t="n">
        <x:f>K36+L36</x:f>
        <x:v>3850</x:v>
      </x:c>
      <x:c r="Q36" s="60" t="n">
        <x:f>IF(M36=0,0,O36/M36)</x:f>
        <x:v>0.17061485227575193</x:v>
      </x:c>
      <x:c r="R36" s="59" t="n">
        <x:f>ROUNDUP(I36/((Assumptions!$C$12*Assumptions!$C$13)/Assumptions!$C$15),0)</x:f>
        <x:v>35</x:v>
      </x:c>
    </x:row>
    <x:row r="37">
      <x:c r="A37" s="56" t="n">
        <x:v>47239</x:v>
      </x:c>
      <x:c r="B37" s="61" t="n">
        <x:f>Assumptions!$C$35*(1+Assumptions!$C$36)*(1+Assumptions!$C$37)*0.084</x:f>
        <x:v>11759999.999993768</x:v>
      </x:c>
      <x:c r="C37" s="61" t="n">
        <x:f>$B37*Assumptions!$D$51</x:f>
        <x:v>3763199.9999980056</x:v>
      </x:c>
      <x:c r="D37" s="61" t="n">
        <x:f>$B37*Assumptions!$D$52</x:f>
        <x:v>1411199.9999992521</x:v>
      </x:c>
      <x:c r="E37" s="61" t="n">
        <x:f>$B37*Assumptions!$D$53</x:f>
        <x:v>1175999.9999993767</x:v>
      </x:c>
      <x:c r="F37" s="61" t="n">
        <x:f>$B37*Assumptions!$D$54</x:f>
        <x:v>705599.9999996261</x:v>
      </x:c>
      <x:c r="G37" s="61" t="n">
        <x:f>$B37*Assumptions!$D$55</x:f>
        <x:v>587999.9999996884</x:v>
      </x:c>
      <x:c r="H37" s="61" t="n">
        <x:f>$B37*Assumptions!$D$56</x:f>
        <x:v>705599.9999996261</x:v>
      </x:c>
      <x:c r="I37" s="61" t="n">
        <x:f>$B37*Assumptions!$D$57</x:f>
        <x:v>2822399.9999985043</x:v>
      </x:c>
      <x:c r="J37" s="61" t="n">
        <x:f>$B37*Assumptions!$D$58</x:f>
        <x:v>587999.9999996884</x:v>
      </x:c>
      <x:c r="K37" s="59" t="n">
        <x:f>ROUNDUP(C37/Assumptions!$C$7,0)</x:f>
        <x:v>3802</x:v>
      </x:c>
      <x:c r="L37" s="59" t="n">
        <x:f>ROUNDUP(D37/Assumptions!$C$8,0)</x:f>
        <x:v>95</x:v>
      </x:c>
      <x:c r="M37" s="59" t="n">
        <x:f>P36</x:f>
        <x:v>3850</x:v>
      </x:c>
      <x:c r="N37" s="59" t="n">
        <x:f>MAX(0,P37-M37+O37)</x:f>
        <x:v>704</x:v>
      </x:c>
      <x:c r="O37" s="59" t="n">
        <x:f>IF(M37=0,0,MAX(ROUND(M37*IF(P37=0,0,(K37/Assumptions!$C$14+L37/Assumptions!$C$43)/P37),0),M37-P37))</x:f>
        <x:v>657</x:v>
      </x:c>
      <x:c r="P37" s="59" t="n">
        <x:f>K37+L37</x:f>
        <x:v>3897</x:v>
      </x:c>
      <x:c r="Q37" s="60" t="n">
        <x:f>IF(M37=0,0,O37/M37)</x:f>
        <x:v>0.17064935064935066</x:v>
      </x:c>
      <x:c r="R37" s="59" t="n">
        <x:f>ROUNDUP(I37/((Assumptions!$C$12*Assumptions!$C$13)/Assumptions!$C$15),0)</x:f>
        <x:v>36</x:v>
      </x:c>
    </x:row>
    <x:row r="38">
      <x:c r="A38" s="56" t="n">
        <x:v>47270</x:v>
      </x:c>
      <x:c r="B38" s="61" t="n">
        <x:f>Assumptions!$C$35*(1+Assumptions!$C$36)*(1+Assumptions!$C$37)*0.086</x:f>
        <x:v>12039999.999993617</x:v>
      </x:c>
      <x:c r="C38" s="61" t="n">
        <x:f>$B38*Assumptions!$D$51</x:f>
        <x:v>3852799.9999979576</x:v>
      </x:c>
      <x:c r="D38" s="61" t="n">
        <x:f>$B38*Assumptions!$D$52</x:f>
        <x:v>1444799.999999234</x:v>
      </x:c>
      <x:c r="E38" s="61" t="n">
        <x:f>$B38*Assumptions!$D$53</x:f>
        <x:v>1203999.9999993618</x:v>
      </x:c>
      <x:c r="F38" s="61" t="n">
        <x:f>$B38*Assumptions!$D$54</x:f>
        <x:v>722399.999999617</x:v>
      </x:c>
      <x:c r="G38" s="61" t="n">
        <x:f>$B38*Assumptions!$D$55</x:f>
        <x:v>601999.9999996809</x:v>
      </x:c>
      <x:c r="H38" s="61" t="n">
        <x:f>$B38*Assumptions!$D$56</x:f>
        <x:v>722399.999999617</x:v>
      </x:c>
      <x:c r="I38" s="61" t="n">
        <x:f>$B38*Assumptions!$D$57</x:f>
        <x:v>2889599.999998468</x:v>
      </x:c>
      <x:c r="J38" s="61" t="n">
        <x:f>$B38*Assumptions!$D$58</x:f>
        <x:v>601999.9999996809</x:v>
      </x:c>
      <x:c r="K38" s="59" t="n">
        <x:f>ROUNDUP(C38/Assumptions!$C$7,0)</x:f>
        <x:v>3892</x:v>
      </x:c>
      <x:c r="L38" s="59" t="n">
        <x:f>ROUNDUP(D38/Assumptions!$C$8,0)</x:f>
        <x:v>97</x:v>
      </x:c>
      <x:c r="M38" s="59" t="n">
        <x:f>P37</x:f>
        <x:v>3897</x:v>
      </x:c>
      <x:c r="N38" s="59" t="n">
        <x:f>MAX(0,P38-M38+O38)</x:f>
        <x:v>757</x:v>
      </x:c>
      <x:c r="O38" s="59" t="n">
        <x:f>IF(M38=0,0,MAX(ROUND(M38*IF(P38=0,0,(K38/Assumptions!$C$14+L38/Assumptions!$C$43)/P38),0),M38-P38))</x:f>
        <x:v>665</x:v>
      </x:c>
      <x:c r="P38" s="59" t="n">
        <x:f>K38+L38</x:f>
        <x:v>3989</x:v>
      </x:c>
      <x:c r="Q38" s="60" t="n">
        <x:f>IF(M38=0,0,O38/M38)</x:f>
        <x:v>0.17064408519373878</x:v>
      </x:c>
      <x:c r="R38" s="59" t="n">
        <x:f>ROUNDUP(I38/((Assumptions!$C$12*Assumptions!$C$13)/Assumptions!$C$15),0)</x:f>
        <x:v>37</x:v>
      </x:c>
    </x:row>
    <x:row r="39">
      <x:c r="A39" s="56" t="n">
        <x:v>47300</x:v>
      </x:c>
      <x:c r="B39" s="61" t="n">
        <x:f>Assumptions!$C$35*(1+Assumptions!$C$36)*(1+Assumptions!$C$37)*0.088</x:f>
        <x:v>12319999.99999347</x:v>
      </x:c>
      <x:c r="C39" s="61" t="n">
        <x:f>$B39*Assumptions!$D$51</x:f>
        <x:v>3942399.99999791</x:v>
      </x:c>
      <x:c r="D39" s="61" t="n">
        <x:f>$B39*Assumptions!$D$52</x:f>
        <x:v>1478399.9999992163</x:v>
      </x:c>
      <x:c r="E39" s="61" t="n">
        <x:f>$B39*Assumptions!$D$53</x:f>
        <x:v>1231999.999999347</x:v>
      </x:c>
      <x:c r="F39" s="61" t="n">
        <x:f>$B39*Assumptions!$D$54</x:f>
        <x:v>739199.9999996081</x:v>
      </x:c>
      <x:c r="G39" s="61" t="n">
        <x:f>$B39*Assumptions!$D$55</x:f>
        <x:v>615999.9999996735</x:v>
      </x:c>
      <x:c r="H39" s="61" t="n">
        <x:f>$B39*Assumptions!$D$56</x:f>
        <x:v>739199.9999996081</x:v>
      </x:c>
      <x:c r="I39" s="61" t="n">
        <x:f>$B39*Assumptions!$D$57</x:f>
        <x:v>2956799.9999984326</x:v>
      </x:c>
      <x:c r="J39" s="61" t="n">
        <x:f>$B39*Assumptions!$D$58</x:f>
        <x:v>615999.9999996735</x:v>
      </x:c>
      <x:c r="K39" s="59" t="n">
        <x:f>ROUNDUP(C39/Assumptions!$C$7,0)</x:f>
        <x:v>3983</x:v>
      </x:c>
      <x:c r="L39" s="59" t="n">
        <x:f>ROUNDUP(D39/Assumptions!$C$8,0)</x:f>
        <x:v>99</x:v>
      </x:c>
      <x:c r="M39" s="59" t="n">
        <x:f>P38</x:f>
        <x:v>3989</x:v>
      </x:c>
      <x:c r="N39" s="59" t="n">
        <x:f>MAX(0,P39-M39+O39)</x:f>
        <x:v>774</x:v>
      </x:c>
      <x:c r="O39" s="59" t="n">
        <x:f>IF(M39=0,0,MAX(ROUND(M39*IF(P39=0,0,(K39/Assumptions!$C$14+L39/Assumptions!$C$43)/P39),0),M39-P39))</x:f>
        <x:v>681</x:v>
      </x:c>
      <x:c r="P39" s="59" t="n">
        <x:f>K39+L39</x:f>
        <x:v>4082</x:v>
      </x:c>
      <x:c r="Q39" s="60" t="n">
        <x:f>IF(M39=0,0,O39/M39)</x:f>
        <x:v>0.17071947856605665</x:v>
      </x:c>
      <x:c r="R39" s="59" t="n">
        <x:f>ROUNDUP(I39/((Assumptions!$C$12*Assumptions!$C$13)/Assumptions!$C$15),0)</x:f>
        <x:v>37</x:v>
      </x:c>
    </x:row>
    <x:row r="40">
      <x:c r="A40" s="56" t="n">
        <x:v>47331</x:v>
      </x:c>
      <x:c r="B40" s="61" t="n">
        <x:f>Assumptions!$C$35*(1+Assumptions!$C$36)*(1+Assumptions!$C$37)*0.094</x:f>
        <x:v>13159999.999993024</x:v>
      </x:c>
      <x:c r="C40" s="61" t="n">
        <x:f>$B40*Assumptions!$D$51</x:f>
        <x:v>4211199.999997768</x:v>
      </x:c>
      <x:c r="D40" s="61" t="n">
        <x:f>$B40*Assumptions!$D$52</x:f>
        <x:v>1579199.999999163</x:v>
      </x:c>
      <x:c r="E40" s="61" t="n">
        <x:f>$B40*Assumptions!$D$53</x:f>
        <x:v>1315999.9999993024</x:v>
      </x:c>
      <x:c r="F40" s="61" t="n">
        <x:f>$B40*Assumptions!$D$54</x:f>
        <x:v>789599.9999995815</x:v>
      </x:c>
      <x:c r="G40" s="61" t="n">
        <x:f>$B40*Assumptions!$D$55</x:f>
        <x:v>657999.9999996512</x:v>
      </x:c>
      <x:c r="H40" s="61" t="n">
        <x:f>$B40*Assumptions!$D$56</x:f>
        <x:v>789599.9999995815</x:v>
      </x:c>
      <x:c r="I40" s="61" t="n">
        <x:f>$B40*Assumptions!$D$57</x:f>
        <x:v>3158399.999998326</x:v>
      </x:c>
      <x:c r="J40" s="61" t="n">
        <x:f>$B40*Assumptions!$D$58</x:f>
        <x:v>657999.9999996512</x:v>
      </x:c>
      <x:c r="K40" s="59" t="n">
        <x:f>ROUNDUP(C40/Assumptions!$C$7,0)</x:f>
        <x:v>4254</x:v>
      </x:c>
      <x:c r="L40" s="59" t="n">
        <x:f>ROUNDUP(D40/Assumptions!$C$8,0)</x:f>
        <x:v>106</x:v>
      </x:c>
      <x:c r="M40" s="59" t="n">
        <x:f>P39</x:f>
        <x:v>4082</x:v>
      </x:c>
      <x:c r="N40" s="59" t="n">
        <x:f>MAX(0,P40-M40+O40)</x:f>
        <x:v>975</x:v>
      </x:c>
      <x:c r="O40" s="59" t="n">
        <x:f>IF(M40=0,0,MAX(ROUND(M40*IF(P40=0,0,(K40/Assumptions!$C$14+L40/Assumptions!$C$43)/P40),0),M40-P40))</x:f>
        <x:v>697</x:v>
      </x:c>
      <x:c r="P40" s="59" t="n">
        <x:f>K40+L40</x:f>
        <x:v>4360</x:v>
      </x:c>
      <x:c r="Q40" s="60" t="n">
        <x:f>IF(M40=0,0,O40/M40)</x:f>
        <x:v>0.17074963253307202</x:v>
      </x:c>
      <x:c r="R40" s="59" t="n">
        <x:f>ROUNDUP(I40/((Assumptions!$C$12*Assumptions!$C$13)/Assumptions!$C$15),0)</x:f>
        <x:v>40</x:v>
      </x:c>
    </x:row>
    <x:row r="41">
      <x:c r="A41" s="56" t="n">
        <x:v>47362</x:v>
      </x:c>
      <x:c r="B41" s="61" t="n">
        <x:f>Assumptions!$C$35*(1+Assumptions!$C$36)*(1+Assumptions!$C$37)*0.097</x:f>
        <x:v>13579999.999992803</x:v>
      </x:c>
      <x:c r="C41" s="61" t="n">
        <x:f>$B41*Assumptions!$D$51</x:f>
        <x:v>4345599.999997697</x:v>
      </x:c>
      <x:c r="D41" s="61" t="n">
        <x:f>$B41*Assumptions!$D$52</x:f>
        <x:v>1629599.9999991362</x:v>
      </x:c>
      <x:c r="E41" s="61" t="n">
        <x:f>$B41*Assumptions!$D$53</x:f>
        <x:v>1357999.9999992803</x:v>
      </x:c>
      <x:c r="F41" s="61" t="n">
        <x:f>$B41*Assumptions!$D$54</x:f>
        <x:v>814799.9999995681</x:v>
      </x:c>
      <x:c r="G41" s="61" t="n">
        <x:f>$B41*Assumptions!$D$55</x:f>
        <x:v>678999.9999996402</x:v>
      </x:c>
      <x:c r="H41" s="61" t="n">
        <x:f>$B41*Assumptions!$D$56</x:f>
        <x:v>814799.9999995681</x:v>
      </x:c>
      <x:c r="I41" s="61" t="n">
        <x:f>$B41*Assumptions!$D$57</x:f>
        <x:v>3259199.9999982724</x:v>
      </x:c>
      <x:c r="J41" s="61" t="n">
        <x:f>$B41*Assumptions!$D$58</x:f>
        <x:v>678999.9999996402</x:v>
      </x:c>
      <x:c r="K41" s="59" t="n">
        <x:f>ROUNDUP(C41/Assumptions!$C$7,0)</x:f>
        <x:v>4390</x:v>
      </x:c>
      <x:c r="L41" s="59" t="n">
        <x:f>ROUNDUP(D41/Assumptions!$C$8,0)</x:f>
        <x:v>109</x:v>
      </x:c>
      <x:c r="M41" s="59" t="n">
        <x:f>P40</x:f>
        <x:v>4360</x:v>
      </x:c>
      <x:c r="N41" s="59" t="n">
        <x:f>MAX(0,P41-M41+O41)</x:f>
        <x:v>883</x:v>
      </x:c>
      <x:c r="O41" s="59" t="n">
        <x:f>IF(M41=0,0,MAX(ROUND(M41*IF(P41=0,0,(K41/Assumptions!$C$14+L41/Assumptions!$C$43)/P41),0),M41-P41))</x:f>
        <x:v>744</x:v>
      </x:c>
      <x:c r="P41" s="59" t="n">
        <x:f>K41+L41</x:f>
        <x:v>4499</x:v>
      </x:c>
      <x:c r="Q41" s="60" t="n">
        <x:f>IF(M41=0,0,O41/M41)</x:f>
        <x:v>0.1706422018348624</x:v>
      </x:c>
      <x:c r="R41" s="59" t="n">
        <x:f>ROUNDUP(I41/((Assumptions!$C$12*Assumptions!$C$13)/Assumptions!$C$15),0)</x:f>
        <x:v>41</x:v>
      </x:c>
    </x:row>
    <x:row r="42">
      <x:c r="A42" s="56" t="n">
        <x:v>47392</x:v>
      </x:c>
      <x:c r="B42" s="61" t="n">
        <x:f>Assumptions!$C$35*(1+Assumptions!$C$36)*(1+Assumptions!$C$37)*(1+Assumptions!$C$38)*0.075</x:f>
        <x:v>16499999.999995755</x:v>
      </x:c>
      <x:c r="C42" s="61" t="n">
        <x:f>$B42*Assumptions!$E$51</x:f>
        <x:v>6929999.9999982165</x:v>
      </x:c>
      <x:c r="D42" s="61" t="n">
        <x:f>$B42*Assumptions!$E$52</x:f>
        <x:v>2309999.999999406</x:v>
      </x:c>
      <x:c r="E42" s="61" t="n">
        <x:f>$B42*Assumptions!$E$53</x:f>
        <x:v>1979999.9999994906</x:v>
      </x:c>
      <x:c r="F42" s="61" t="n">
        <x:f>$B42*Assumptions!$E$54</x:f>
        <x:v>1154999.999999703</x:v>
      </x:c>
      <x:c r="G42" s="61" t="n">
        <x:f>$B42*Assumptions!$E$55</x:f>
        <x:v>659999.9999998303</x:v>
      </x:c>
      <x:c r="H42" s="61" t="n">
        <x:f>$B42*Assumptions!$E$56</x:f>
        <x:v>659999.9999998303</x:v>
      </x:c>
      <x:c r="I42" s="61" t="n">
        <x:f>$B42*Assumptions!$E$57</x:f>
        <x:v>1979999.9999994906</x:v>
      </x:c>
      <x:c r="J42" s="61" t="n">
        <x:f>$B42*Assumptions!$E$58</x:f>
        <x:v>824999.9999997878</x:v>
      </x:c>
      <x:c r="K42" s="59" t="n">
        <x:f>ROUNDUP(C42/Assumptions!$C$7,0)</x:f>
        <x:v>7000</x:v>
      </x:c>
      <x:c r="L42" s="59" t="n">
        <x:f>ROUNDUP(D42/Assumptions!$C$8,0)</x:f>
        <x:v>155</x:v>
      </x:c>
      <x:c r="M42" s="59" t="n">
        <x:f>P41</x:f>
        <x:v>4499</x:v>
      </x:c>
      <x:c r="N42" s="59" t="n">
        <x:f>MAX(0,P42-M42+O42)</x:f>
        <x:v>3422</x:v>
      </x:c>
      <x:c r="O42" s="59" t="n">
        <x:f>IF(M42=0,0,MAX(ROUND(M42*IF(P42=0,0,(K42/Assumptions!$C$14+L42/Assumptions!$C$43)/P42),0),M42-P42))</x:f>
        <x:v>766</x:v>
      </x:c>
      <x:c r="P42" s="59" t="n">
        <x:f>K42+L42</x:f>
        <x:v>7155</x:v>
      </x:c>
      <x:c r="Q42" s="60" t="n">
        <x:f>IF(M42=0,0,O42/M42)</x:f>
        <x:v>0.17026005779062015</x:v>
      </x:c>
      <x:c r="R42" s="59" t="n">
        <x:f>ROUNDUP(I42/((Assumptions!$C$12*Assumptions!$C$13)/Assumptions!$C$15),0)</x:f>
        <x:v>25</x:v>
      </x:c>
    </x:row>
    <x:row r="43">
      <x:c r="A43" s="56" t="n">
        <x:v>47423</x:v>
      </x:c>
      <x:c r="B43" s="61" t="n">
        <x:f>Assumptions!$C$35*(1+Assumptions!$C$36)*(1+Assumptions!$C$37)*(1+Assumptions!$C$38)*0.076</x:f>
        <x:v>16719999.9999957</x:v>
      </x:c>
      <x:c r="C43" s="61" t="n">
        <x:f>$B43*Assumptions!$E$51</x:f>
        <x:v>7022399.999998193</x:v>
      </x:c>
      <x:c r="D43" s="61" t="n">
        <x:f>$B43*Assumptions!$E$52</x:f>
        <x:v>2340799.999999398</x:v>
      </x:c>
      <x:c r="E43" s="61" t="n">
        <x:f>$B43*Assumptions!$E$53</x:f>
        <x:v>2006399.9999994838</x:v>
      </x:c>
      <x:c r="F43" s="61" t="n">
        <x:f>$B43*Assumptions!$E$54</x:f>
        <x:v>1170399.999999699</x:v>
      </x:c>
      <x:c r="G43" s="61" t="n">
        <x:f>$B43*Assumptions!$E$55</x:f>
        <x:v>668799.9999998279</x:v>
      </x:c>
      <x:c r="H43" s="61" t="n">
        <x:f>$B43*Assumptions!$E$56</x:f>
        <x:v>668799.9999998279</x:v>
      </x:c>
      <x:c r="I43" s="61" t="n">
        <x:f>$B43*Assumptions!$E$57</x:f>
        <x:v>2006399.9999994838</x:v>
      </x:c>
      <x:c r="J43" s="61" t="n">
        <x:f>$B43*Assumptions!$E$58</x:f>
        <x:v>835999.999999785</x:v>
      </x:c>
      <x:c r="K43" s="59" t="n">
        <x:f>ROUNDUP(C43/Assumptions!$C$7,0)</x:f>
        <x:v>7094</x:v>
      </x:c>
      <x:c r="L43" s="59" t="n">
        <x:f>ROUNDUP(D43/Assumptions!$C$8,0)</x:f>
        <x:v>157</x:v>
      </x:c>
      <x:c r="M43" s="59" t="n">
        <x:f>P42</x:f>
        <x:v>7155</x:v>
      </x:c>
      <x:c r="N43" s="59" t="n">
        <x:f>MAX(0,P43-M43+O43)</x:f>
        <x:v>1314</x:v>
      </x:c>
      <x:c r="O43" s="59" t="n">
        <x:f>IF(M43=0,0,MAX(ROUND(M43*IF(P43=0,0,(K43/Assumptions!$C$14+L43/Assumptions!$C$43)/P43),0),M43-P43))</x:f>
        <x:v>1218</x:v>
      </x:c>
      <x:c r="P43" s="59" t="n">
        <x:f>K43+L43</x:f>
        <x:v>7251</x:v>
      </x:c>
      <x:c r="Q43" s="60" t="n">
        <x:f>IF(M43=0,0,O43/M43)</x:f>
        <x:v>0.17023060796645703</x:v>
      </x:c>
      <x:c r="R43" s="59" t="n">
        <x:f>ROUNDUP(I43/((Assumptions!$C$12*Assumptions!$C$13)/Assumptions!$C$15),0)</x:f>
        <x:v>26</x:v>
      </x:c>
    </x:row>
    <x:row r="44">
      <x:c r="A44" s="56" t="n">
        <x:v>47453</x:v>
      </x:c>
      <x:c r="B44" s="61" t="n">
        <x:f>Assumptions!$C$35*(1+Assumptions!$C$36)*(1+Assumptions!$C$37)*(1+Assumptions!$C$38)*0.077</x:f>
        <x:v>16939999.99999564</x:v>
      </x:c>
      <x:c r="C44" s="61" t="n">
        <x:f>$B44*Assumptions!$E$51</x:f>
        <x:v>7114799.999998169</x:v>
      </x:c>
      <x:c r="D44" s="61" t="n">
        <x:f>$B44*Assumptions!$E$52</x:f>
        <x:v>2371599.99999939</x:v>
      </x:c>
      <x:c r="E44" s="61" t="n">
        <x:f>$B44*Assumptions!$E$53</x:f>
        <x:v>2032799.9999994768</x:v>
      </x:c>
      <x:c r="F44" s="61" t="n">
        <x:f>$B44*Assumptions!$E$54</x:f>
        <x:v>1185799.999999695</x:v>
      </x:c>
      <x:c r="G44" s="61" t="n">
        <x:f>$B44*Assumptions!$E$55</x:f>
        <x:v>677599.9999998257</x:v>
      </x:c>
      <x:c r="H44" s="61" t="n">
        <x:f>$B44*Assumptions!$E$56</x:f>
        <x:v>677599.9999998257</x:v>
      </x:c>
      <x:c r="I44" s="61" t="n">
        <x:f>$B44*Assumptions!$E$57</x:f>
        <x:v>2032799.9999994768</x:v>
      </x:c>
      <x:c r="J44" s="61" t="n">
        <x:f>$B44*Assumptions!$E$58</x:f>
        <x:v>846999.9999997821</x:v>
      </x:c>
      <x:c r="K44" s="59" t="n">
        <x:f>ROUNDUP(C44/Assumptions!$C$7,0)</x:f>
        <x:v>7187</x:v>
      </x:c>
      <x:c r="L44" s="59" t="n">
        <x:f>ROUNDUP(D44/Assumptions!$C$8,0)</x:f>
        <x:v>159</x:v>
      </x:c>
      <x:c r="M44" s="59" t="n">
        <x:f>P43</x:f>
        <x:v>7251</x:v>
      </x:c>
      <x:c r="N44" s="59" t="n">
        <x:f>MAX(0,P44-M44+O44)</x:f>
        <x:v>1330</x:v>
      </x:c>
      <x:c r="O44" s="59" t="n">
        <x:f>IF(M44=0,0,MAX(ROUND(M44*IF(P44=0,0,(K44/Assumptions!$C$14+L44/Assumptions!$C$43)/P44),0),M44-P44))</x:f>
        <x:v>1235</x:v>
      </x:c>
      <x:c r="P44" s="59" t="n">
        <x:f>K44+L44</x:f>
        <x:v>7346</x:v>
      </x:c>
      <x:c r="Q44" s="60" t="n">
        <x:f>IF(M44=0,0,O44/M44)</x:f>
        <x:v>0.17032133498827748</x:v>
      </x:c>
      <x:c r="R44" s="59" t="n">
        <x:f>ROUNDUP(I44/((Assumptions!$C$12*Assumptions!$C$13)/Assumptions!$C$15),0)</x:f>
        <x:v>26</x:v>
      </x:c>
    </x:row>
    <x:row r="45">
      <x:c r="A45" s="56" t="n">
        <x:v>47484</x:v>
      </x:c>
      <x:c r="B45" s="61" t="n">
        <x:f>Assumptions!$C$35*(1+Assumptions!$C$36)*(1+Assumptions!$C$37)*(1+Assumptions!$C$38)*0.079</x:f>
        <x:v>17379999.99999553</x:v>
      </x:c>
      <x:c r="C45" s="61" t="n">
        <x:f>$B45*Assumptions!$E$51</x:f>
        <x:v>7299599.999998122</x:v>
      </x:c>
      <x:c r="D45" s="61" t="n">
        <x:f>$B45*Assumptions!$E$52</x:f>
        <x:v>2433199.999999374</x:v>
      </x:c>
      <x:c r="E45" s="61" t="n">
        <x:f>$B45*Assumptions!$E$53</x:f>
        <x:v>2085599.9999994636</x:v>
      </x:c>
      <x:c r="F45" s="61" t="n">
        <x:f>$B45*Assumptions!$E$54</x:f>
        <x:v>1216599.999999687</x:v>
      </x:c>
      <x:c r="G45" s="61" t="n">
        <x:f>$B45*Assumptions!$E$55</x:f>
        <x:v>695199.9999998212</x:v>
      </x:c>
      <x:c r="H45" s="61" t="n">
        <x:f>$B45*Assumptions!$E$56</x:f>
        <x:v>695199.9999998212</x:v>
      </x:c>
      <x:c r="I45" s="61" t="n">
        <x:f>$B45*Assumptions!$E$57</x:f>
        <x:v>2085599.9999994636</x:v>
      </x:c>
      <x:c r="J45" s="61" t="n">
        <x:f>$B45*Assumptions!$E$58</x:f>
        <x:v>868999.9999997765</x:v>
      </x:c>
      <x:c r="K45" s="59" t="n">
        <x:f>ROUNDUP(C45/Assumptions!$C$7,0)</x:f>
        <x:v>7374</x:v>
      </x:c>
      <x:c r="L45" s="59" t="n">
        <x:f>ROUNDUP(D45/Assumptions!$C$8,0)</x:f>
        <x:v>163</x:v>
      </x:c>
      <x:c r="M45" s="59" t="n">
        <x:f>P44</x:f>
        <x:v>7346</x:v>
      </x:c>
      <x:c r="N45" s="59" t="n">
        <x:f>MAX(0,P45-M45+O45)</x:f>
        <x:v>1442</x:v>
      </x:c>
      <x:c r="O45" s="59" t="n">
        <x:f>IF(M45=0,0,MAX(ROUND(M45*IF(P45=0,0,(K45/Assumptions!$C$14+L45/Assumptions!$C$43)/P45),0),M45-P45))</x:f>
        <x:v>1251</x:v>
      </x:c>
      <x:c r="P45" s="59" t="n">
        <x:f>K45+L45</x:f>
        <x:v>7537</x:v>
      </x:c>
      <x:c r="Q45" s="60" t="n">
        <x:f>IF(M45=0,0,O45/M45)</x:f>
        <x:v>0.17029676014157363</x:v>
      </x:c>
      <x:c r="R45" s="59" t="n">
        <x:f>ROUNDUP(I45/((Assumptions!$C$12*Assumptions!$C$13)/Assumptions!$C$15),0)</x:f>
        <x:v>27</x:v>
      </x:c>
    </x:row>
    <x:row r="46">
      <x:c r="A46" s="56" t="n">
        <x:v>47515</x:v>
      </x:c>
      <x:c r="B46" s="61" t="n">
        <x:f>Assumptions!$C$35*(1+Assumptions!$C$36)*(1+Assumptions!$C$37)*(1+Assumptions!$C$38)*0.08</x:f>
        <x:v>17599999.999995474</x:v>
      </x:c>
      <x:c r="C46" s="61" t="n">
        <x:f>$B46*Assumptions!$E$51</x:f>
        <x:v>7391999.999998099</x:v>
      </x:c>
      <x:c r="D46" s="61" t="n">
        <x:f>$B46*Assumptions!$E$52</x:f>
        <x:v>2463999.9999993667</x:v>
      </x:c>
      <x:c r="E46" s="61" t="n">
        <x:f>$B46*Assumptions!$E$53</x:f>
        <x:v>2111999.9999994566</x:v>
      </x:c>
      <x:c r="F46" s="61" t="n">
        <x:f>$B46*Assumptions!$E$54</x:f>
        <x:v>1231999.9999996834</x:v>
      </x:c>
      <x:c r="G46" s="61" t="n">
        <x:f>$B46*Assumptions!$E$55</x:f>
        <x:v>703999.999999819</x:v>
      </x:c>
      <x:c r="H46" s="61" t="n">
        <x:f>$B46*Assumptions!$E$56</x:f>
        <x:v>703999.999999819</x:v>
      </x:c>
      <x:c r="I46" s="61" t="n">
        <x:f>$B46*Assumptions!$E$57</x:f>
        <x:v>2111999.9999994566</x:v>
      </x:c>
      <x:c r="J46" s="61" t="n">
        <x:f>$B46*Assumptions!$E$58</x:f>
        <x:v>879999.9999997737</x:v>
      </x:c>
      <x:c r="K46" s="59" t="n">
        <x:f>ROUNDUP(C46/Assumptions!$C$7,0)</x:f>
        <x:v>7467</x:v>
      </x:c>
      <x:c r="L46" s="59" t="n">
        <x:f>ROUNDUP(D46/Assumptions!$C$8,0)</x:f>
        <x:v>165</x:v>
      </x:c>
      <x:c r="M46" s="59" t="n">
        <x:f>P45</x:f>
        <x:v>7537</x:v>
      </x:c>
      <x:c r="N46" s="59" t="n">
        <x:f>MAX(0,P46-M46+O46)</x:f>
        <x:v>1378</x:v>
      </x:c>
      <x:c r="O46" s="59" t="n">
        <x:f>IF(M46=0,0,MAX(ROUND(M46*IF(P46=0,0,(K46/Assumptions!$C$14+L46/Assumptions!$C$43)/P46),0),M46-P46))</x:f>
        <x:v>1283</x:v>
      </x:c>
      <x:c r="P46" s="59" t="n">
        <x:f>K46+L46</x:f>
        <x:v>7632</x:v>
      </x:c>
      <x:c r="Q46" s="60" t="n">
        <x:f>IF(M46=0,0,O46/M46)</x:f>
        <x:v>0.17022688072177258</x:v>
      </x:c>
      <x:c r="R46" s="59" t="n">
        <x:f>ROUNDUP(I46/((Assumptions!$C$12*Assumptions!$C$13)/Assumptions!$C$15),0)</x:f>
        <x:v>27</x:v>
      </x:c>
    </x:row>
    <x:row r="47">
      <x:c r="A47" s="56" t="n">
        <x:v>47543</x:v>
      </x:c>
      <x:c r="B47" s="61" t="n">
        <x:f>Assumptions!$C$35*(1+Assumptions!$C$36)*(1+Assumptions!$C$37)*(1+Assumptions!$C$38)*0.081</x:f>
        <x:v>17819999.999995418</x:v>
      </x:c>
      <x:c r="C47" s="61" t="n">
        <x:f>$B47*Assumptions!$E$51</x:f>
        <x:v>7484399.999998075</x:v>
      </x:c>
      <x:c r="D47" s="61" t="n">
        <x:f>$B47*Assumptions!$E$52</x:f>
        <x:v>2494799.999999359</x:v>
      </x:c>
      <x:c r="E47" s="61" t="n">
        <x:f>$B47*Assumptions!$E$53</x:f>
        <x:v>2138399.99999945</x:v>
      </x:c>
      <x:c r="F47" s="61" t="n">
        <x:f>$B47*Assumptions!$E$54</x:f>
        <x:v>1247399.9999996794</x:v>
      </x:c>
      <x:c r="G47" s="61" t="n">
        <x:f>$B47*Assumptions!$E$55</x:f>
        <x:v>712799.9999998168</x:v>
      </x:c>
      <x:c r="H47" s="61" t="n">
        <x:f>$B47*Assumptions!$E$56</x:f>
        <x:v>712799.9999998168</x:v>
      </x:c>
      <x:c r="I47" s="61" t="n">
        <x:f>$B47*Assumptions!$E$57</x:f>
        <x:v>2138399.99999945</x:v>
      </x:c>
      <x:c r="J47" s="61" t="n">
        <x:f>$B47*Assumptions!$E$58</x:f>
        <x:v>890999.9999997709</x:v>
      </x:c>
      <x:c r="K47" s="59" t="n">
        <x:f>ROUNDUP(C47/Assumptions!$C$7,0)</x:f>
        <x:v>7560</x:v>
      </x:c>
      <x:c r="L47" s="59" t="n">
        <x:f>ROUNDUP(D47/Assumptions!$C$8,0)</x:f>
        <x:v>167</x:v>
      </x:c>
      <x:c r="M47" s="59" t="n">
        <x:f>P46</x:f>
        <x:v>7632</x:v>
      </x:c>
      <x:c r="N47" s="59" t="n">
        <x:f>MAX(0,P47-M47+O47)</x:f>
        <x:v>1394</x:v>
      </x:c>
      <x:c r="O47" s="59" t="n">
        <x:f>IF(M47=0,0,MAX(ROUND(M47*IF(P47=0,0,(K47/Assumptions!$C$14+L47/Assumptions!$C$43)/P47),0),M47-P47))</x:f>
        <x:v>1299</x:v>
      </x:c>
      <x:c r="P47" s="59" t="n">
        <x:f>K47+L47</x:f>
        <x:v>7727</x:v>
      </x:c>
      <x:c r="Q47" s="60" t="n">
        <x:f>IF(M47=0,0,O47/M47)</x:f>
        <x:v>0.17020440251572327</x:v>
      </x:c>
      <x:c r="R47" s="59" t="n">
        <x:f>ROUNDUP(I47/((Assumptions!$C$12*Assumptions!$C$13)/Assumptions!$C$15),0)</x:f>
        <x:v>27</x:v>
      </x:c>
    </x:row>
    <x:row r="48">
      <x:c r="A48" s="56" t="n">
        <x:v>47574</x:v>
      </x:c>
      <x:c r="B48" s="61" t="n">
        <x:f>Assumptions!$C$35*(1+Assumptions!$C$36)*(1+Assumptions!$C$37)*(1+Assumptions!$C$38)*0.083</x:f>
        <x:v>18259999.999995302</x:v>
      </x:c>
      <x:c r="C48" s="61" t="n">
        <x:f>$B48*Assumptions!$E$51</x:f>
        <x:v>7669199.9999980265</x:v>
      </x:c>
      <x:c r="D48" s="61" t="n">
        <x:f>$B48*Assumptions!$E$52</x:f>
        <x:v>2556399.9999993425</x:v>
      </x:c>
      <x:c r="E48" s="61" t="n">
        <x:f>$B48*Assumptions!$E$53</x:f>
        <x:v>2191199.999999436</x:v>
      </x:c>
      <x:c r="F48" s="61" t="n">
        <x:f>$B48*Assumptions!$E$54</x:f>
        <x:v>1278199.9999996712</x:v>
      </x:c>
      <x:c r="G48" s="61" t="n">
        <x:f>$B48*Assumptions!$E$55</x:f>
        <x:v>730399.9999998121</x:v>
      </x:c>
      <x:c r="H48" s="61" t="n">
        <x:f>$B48*Assumptions!$E$56</x:f>
        <x:v>730399.9999998121</x:v>
      </x:c>
      <x:c r="I48" s="61" t="n">
        <x:f>$B48*Assumptions!$E$57</x:f>
        <x:v>2191199.999999436</x:v>
      </x:c>
      <x:c r="J48" s="61" t="n">
        <x:f>$B48*Assumptions!$E$58</x:f>
        <x:v>912999.9999997652</x:v>
      </x:c>
      <x:c r="K48" s="59" t="n">
        <x:f>ROUNDUP(C48/Assumptions!$C$7,0)</x:f>
        <x:v>7747</x:v>
      </x:c>
      <x:c r="L48" s="59" t="n">
        <x:f>ROUNDUP(D48/Assumptions!$C$8,0)</x:f>
        <x:v>171</x:v>
      </x:c>
      <x:c r="M48" s="59" t="n">
        <x:f>P47</x:f>
        <x:v>7727</x:v>
      </x:c>
      <x:c r="N48" s="59" t="n">
        <x:f>MAX(0,P48-M48+O48)</x:f>
        <x:v>1507</x:v>
      </x:c>
      <x:c r="O48" s="59" t="n">
        <x:f>IF(M48=0,0,MAX(ROUND(M48*IF(P48=0,0,(K48/Assumptions!$C$14+L48/Assumptions!$C$43)/P48),0),M48-P48))</x:f>
        <x:v>1316</x:v>
      </x:c>
      <x:c r="P48" s="59" t="n">
        <x:f>K48+L48</x:f>
        <x:v>7918</x:v>
      </x:c>
      <x:c r="Q48" s="60" t="n">
        <x:f>IF(M48=0,0,O48/M48)</x:f>
        <x:v>0.17031189336094216</x:v>
      </x:c>
      <x:c r="R48" s="59" t="n">
        <x:f>ROUNDUP(I48/((Assumptions!$C$12*Assumptions!$C$13)/Assumptions!$C$15),0)</x:f>
        <x:v>28</x:v>
      </x:c>
    </x:row>
    <x:row r="49">
      <x:c r="A49" s="56" t="n">
        <x:v>47604</x:v>
      </x:c>
      <x:c r="B49" s="61" t="n">
        <x:f>Assumptions!$C$35*(1+Assumptions!$C$36)*(1+Assumptions!$C$37)*(1+Assumptions!$C$38)*0.084</x:f>
        <x:v>18479999.999995247</x:v>
      </x:c>
      <x:c r="C49" s="61" t="n">
        <x:f>$B49*Assumptions!$E$51</x:f>
        <x:v>7761599.999998003</x:v>
      </x:c>
      <x:c r="D49" s="61" t="n">
        <x:f>$B49*Assumptions!$E$52</x:f>
        <x:v>2587199.9999993346</x:v>
      </x:c>
      <x:c r="E49" s="61" t="n">
        <x:f>$B49*Assumptions!$E$53</x:f>
        <x:v>2217599.9999994296</x:v>
      </x:c>
      <x:c r="F49" s="61" t="n">
        <x:f>$B49*Assumptions!$E$54</x:f>
        <x:v>1293599.9999996673</x:v>
      </x:c>
      <x:c r="G49" s="61" t="n">
        <x:f>$B49*Assumptions!$E$55</x:f>
        <x:v>739199.9999998099</x:v>
      </x:c>
      <x:c r="H49" s="61" t="n">
        <x:f>$B49*Assumptions!$E$56</x:f>
        <x:v>739199.9999998099</x:v>
      </x:c>
      <x:c r="I49" s="61" t="n">
        <x:f>$B49*Assumptions!$E$57</x:f>
        <x:v>2217599.9999994296</x:v>
      </x:c>
      <x:c r="J49" s="61" t="n">
        <x:f>$B49*Assumptions!$E$58</x:f>
        <x:v>923999.9999997624</x:v>
      </x:c>
      <x:c r="K49" s="59" t="n">
        <x:f>ROUNDUP(C49/Assumptions!$C$7,0)</x:f>
        <x:v>7840</x:v>
      </x:c>
      <x:c r="L49" s="59" t="n">
        <x:f>ROUNDUP(D49/Assumptions!$C$8,0)</x:f>
        <x:v>173</x:v>
      </x:c>
      <x:c r="M49" s="59" t="n">
        <x:f>P48</x:f>
        <x:v>7918</x:v>
      </x:c>
      <x:c r="N49" s="59" t="n">
        <x:f>MAX(0,P49-M49+O49)</x:f>
        <x:v>1443</x:v>
      </x:c>
      <x:c r="O49" s="59" t="n">
        <x:f>IF(M49=0,0,MAX(ROUND(M49*IF(P49=0,0,(K49/Assumptions!$C$14+L49/Assumptions!$C$43)/P49),0),M49-P49))</x:f>
        <x:v>1348</x:v>
      </x:c>
      <x:c r="P49" s="59" t="n">
        <x:f>K49+L49</x:f>
        <x:v>8013</x:v>
      </x:c>
      <x:c r="Q49" s="60" t="n">
        <x:f>IF(M49=0,0,O49/M49)</x:f>
        <x:v>0.1702450113665067</x:v>
      </x:c>
      <x:c r="R49" s="59" t="n">
        <x:f>ROUNDUP(I49/((Assumptions!$C$12*Assumptions!$C$13)/Assumptions!$C$15),0)</x:f>
        <x:v>28</x:v>
      </x:c>
    </x:row>
    <x:row r="50">
      <x:c r="A50" s="56" t="n">
        <x:v>47635</x:v>
      </x:c>
      <x:c r="B50" s="61" t="n">
        <x:f>Assumptions!$C$35*(1+Assumptions!$C$36)*(1+Assumptions!$C$37)*(1+Assumptions!$C$38)*0.086</x:f>
        <x:v>18919999.99999513</x:v>
      </x:c>
      <x:c r="C50" s="61" t="n">
        <x:f>$B50*Assumptions!$E$51</x:f>
        <x:v>7946399.999997955</x:v>
      </x:c>
      <x:c r="D50" s="61" t="n">
        <x:f>$B50*Assumptions!$E$52</x:f>
        <x:v>2648799.9999993187</x:v>
      </x:c>
      <x:c r="E50" s="61" t="n">
        <x:f>$B50*Assumptions!$E$53</x:f>
        <x:v>2270399.9999994156</x:v>
      </x:c>
      <x:c r="F50" s="61" t="n">
        <x:f>$B50*Assumptions!$E$54</x:f>
        <x:v>1324399.9999996594</x:v>
      </x:c>
      <x:c r="G50" s="61" t="n">
        <x:f>$B50*Assumptions!$E$55</x:f>
        <x:v>756799.9999998052</x:v>
      </x:c>
      <x:c r="H50" s="61" t="n">
        <x:f>$B50*Assumptions!$E$56</x:f>
        <x:v>756799.9999998052</x:v>
      </x:c>
      <x:c r="I50" s="61" t="n">
        <x:f>$B50*Assumptions!$E$57</x:f>
        <x:v>2270399.9999994156</x:v>
      </x:c>
      <x:c r="J50" s="61" t="n">
        <x:f>$B50*Assumptions!$E$58</x:f>
        <x:v>945999.9999997566</x:v>
      </x:c>
      <x:c r="K50" s="59" t="n">
        <x:f>ROUNDUP(C50/Assumptions!$C$7,0)</x:f>
        <x:v>8027</x:v>
      </x:c>
      <x:c r="L50" s="59" t="n">
        <x:f>ROUNDUP(D50/Assumptions!$C$8,0)</x:f>
        <x:v>177</x:v>
      </x:c>
      <x:c r="M50" s="59" t="n">
        <x:f>P49</x:f>
        <x:v>8013</x:v>
      </x:c>
      <x:c r="N50" s="59" t="n">
        <x:f>MAX(0,P50-M50+O50)</x:f>
        <x:v>1555</x:v>
      </x:c>
      <x:c r="O50" s="59" t="n">
        <x:f>IF(M50=0,0,MAX(ROUND(M50*IF(P50=0,0,(K50/Assumptions!$C$14+L50/Assumptions!$C$43)/P50),0),M50-P50))</x:f>
        <x:v>1364</x:v>
      </x:c>
      <x:c r="P50" s="59" t="n">
        <x:f>K50+L50</x:f>
        <x:v>8204</x:v>
      </x:c>
      <x:c r="Q50" s="60" t="n">
        <x:f>IF(M50=0,0,O50/M50)</x:f>
        <x:v>0.1702233869961313</x:v>
      </x:c>
      <x:c r="R50" s="59" t="n">
        <x:f>ROUNDUP(I50/((Assumptions!$C$12*Assumptions!$C$13)/Assumptions!$C$15),0)</x:f>
        <x:v>29</x:v>
      </x:c>
    </x:row>
    <x:row r="51">
      <x:c r="A51" s="56" t="n">
        <x:v>47665</x:v>
      </x:c>
      <x:c r="B51" s="61" t="n">
        <x:f>Assumptions!$C$35*(1+Assumptions!$C$36)*(1+Assumptions!$C$37)*(1+Assumptions!$C$38)*0.088</x:f>
        <x:v>19359999.99999502</x:v>
      </x:c>
      <x:c r="C51" s="61" t="n">
        <x:f>$B51*Assumptions!$E$51</x:f>
        <x:v>8131199.999997908</x:v>
      </x:c>
      <x:c r="D51" s="61" t="n">
        <x:f>$B51*Assumptions!$E$52</x:f>
        <x:v>2710399.999999303</x:v>
      </x:c>
      <x:c r="E51" s="61" t="n">
        <x:f>$B51*Assumptions!$E$53</x:f>
        <x:v>2323199.999999402</x:v>
      </x:c>
      <x:c r="F51" s="61" t="n">
        <x:f>$B51*Assumptions!$E$54</x:f>
        <x:v>1355199.9999996515</x:v>
      </x:c>
      <x:c r="G51" s="61" t="n">
        <x:f>$B51*Assumptions!$E$55</x:f>
        <x:v>774399.9999998008</x:v>
      </x:c>
      <x:c r="H51" s="61" t="n">
        <x:f>$B51*Assumptions!$E$56</x:f>
        <x:v>774399.9999998008</x:v>
      </x:c>
      <x:c r="I51" s="61" t="n">
        <x:f>$B51*Assumptions!$E$57</x:f>
        <x:v>2323199.999999402</x:v>
      </x:c>
      <x:c r="J51" s="61" t="n">
        <x:f>$B51*Assumptions!$E$58</x:f>
        <x:v>967999.999999751</x:v>
      </x:c>
      <x:c r="K51" s="59" t="n">
        <x:f>ROUNDUP(C51/Assumptions!$C$7,0)</x:f>
        <x:v>8214</x:v>
      </x:c>
      <x:c r="L51" s="59" t="n">
        <x:f>ROUNDUP(D51/Assumptions!$C$8,0)</x:f>
        <x:v>181</x:v>
      </x:c>
      <x:c r="M51" s="59" t="n">
        <x:f>P50</x:f>
        <x:v>8204</x:v>
      </x:c>
      <x:c r="N51" s="59" t="n">
        <x:f>MAX(0,P51-M51+O51)</x:f>
        <x:v>1588</x:v>
      </x:c>
      <x:c r="O51" s="59" t="n">
        <x:f>IF(M51=0,0,MAX(ROUND(M51*IF(P51=0,0,(K51/Assumptions!$C$14+L51/Assumptions!$C$43)/P51),0),M51-P51))</x:f>
        <x:v>1397</x:v>
      </x:c>
      <x:c r="P51" s="59" t="n">
        <x:f>K51+L51</x:f>
        <x:v>8395</x:v>
      </x:c>
      <x:c r="Q51" s="60" t="n">
        <x:f>IF(M51=0,0,O51/M51)</x:f>
        <x:v>0.17028278888347148</x:v>
      </x:c>
      <x:c r="R51" s="59" t="n">
        <x:f>ROUNDUP(I51/((Assumptions!$C$12*Assumptions!$C$13)/Assumptions!$C$15),0)</x:f>
        <x:v>30</x:v>
      </x:c>
    </x:row>
    <x:row r="52">
      <x:c r="A52" s="56" t="n">
        <x:v>47696</x:v>
      </x:c>
      <x:c r="B52" s="61" t="n">
        <x:f>Assumptions!$C$35*(1+Assumptions!$C$36)*(1+Assumptions!$C$37)*(1+Assumptions!$C$38)*0.094</x:f>
        <x:v>20679999.99999468</x:v>
      </x:c>
      <x:c r="C52" s="61" t="n">
        <x:f>$B52*Assumptions!$E$51</x:f>
        <x:v>8685599.999997765</x:v>
      </x:c>
      <x:c r="D52" s="61" t="n">
        <x:f>$B52*Assumptions!$E$52</x:f>
        <x:v>2895199.9999992554</x:v>
      </x:c>
      <x:c r="E52" s="61" t="n">
        <x:f>$B52*Assumptions!$E$53</x:f>
        <x:v>2481599.9999993616</x:v>
      </x:c>
      <x:c r="F52" s="61" t="n">
        <x:f>$B52*Assumptions!$E$54</x:f>
        <x:v>1447599.9999996277</x:v>
      </x:c>
      <x:c r="G52" s="61" t="n">
        <x:f>$B52*Assumptions!$E$55</x:f>
        <x:v>827199.9999997872</x:v>
      </x:c>
      <x:c r="H52" s="61" t="n">
        <x:f>$B52*Assumptions!$E$56</x:f>
        <x:v>827199.9999997872</x:v>
      </x:c>
      <x:c r="I52" s="61" t="n">
        <x:f>$B52*Assumptions!$E$57</x:f>
        <x:v>2481599.9999993616</x:v>
      </x:c>
      <x:c r="J52" s="61" t="n">
        <x:f>$B52*Assumptions!$E$58</x:f>
        <x:v>1033999.9999997341</x:v>
      </x:c>
      <x:c r="K52" s="59" t="n">
        <x:f>ROUNDUP(C52/Assumptions!$C$7,0)</x:f>
        <x:v>8774</x:v>
      </x:c>
      <x:c r="L52" s="59" t="n">
        <x:f>ROUNDUP(D52/Assumptions!$C$8,0)</x:f>
        <x:v>194</x:v>
      </x:c>
      <x:c r="M52" s="59" t="n">
        <x:f>P51</x:f>
        <x:v>8395</x:v>
      </x:c>
      <x:c r="N52" s="59" t="n">
        <x:f>MAX(0,P52-M52+O52)</x:f>
        <x:v>2002</x:v>
      </x:c>
      <x:c r="O52" s="59" t="n">
        <x:f>IF(M52=0,0,MAX(ROUND(M52*IF(P52=0,0,(K52/Assumptions!$C$14+L52/Assumptions!$C$43)/P52),0),M52-P52))</x:f>
        <x:v>1429</x:v>
      </x:c>
      <x:c r="P52" s="59" t="n">
        <x:f>K52+L52</x:f>
        <x:v>8968</x:v>
      </x:c>
      <x:c r="Q52" s="60" t="n">
        <x:f>IF(M52=0,0,O52/M52)</x:f>
        <x:v>0.1702203692674211</x:v>
      </x:c>
      <x:c r="R52" s="59" t="n">
        <x:f>ROUNDUP(I52/((Assumptions!$C$12*Assumptions!$C$13)/Assumptions!$C$15),0)</x:f>
        <x:v>32</x:v>
      </x:c>
    </x:row>
    <x:row r="53">
      <x:c r="A53" s="56" t="n">
        <x:v>47727</x:v>
      </x:c>
      <x:c r="B53" s="61" t="n">
        <x:f>Assumptions!$C$35*(1+Assumptions!$C$36)*(1+Assumptions!$C$37)*(1+Assumptions!$C$38)*0.097</x:f>
        <x:v>21339999.999994513</x:v>
      </x:c>
      <x:c r="C53" s="61" t="n">
        <x:f>$B53*Assumptions!$E$51</x:f>
        <x:v>8962799.999997696</x:v>
      </x:c>
      <x:c r="D53" s="61" t="n">
        <x:f>$B53*Assumptions!$E$52</x:f>
        <x:v>2987599.999999232</x:v>
      </x:c>
      <x:c r="E53" s="61" t="n">
        <x:f>$B53*Assumptions!$E$53</x:f>
        <x:v>2560799.9999993416</x:v>
      </x:c>
      <x:c r="F53" s="61" t="n">
        <x:f>$B53*Assumptions!$E$54</x:f>
        <x:v>1493799.999999616</x:v>
      </x:c>
      <x:c r="G53" s="61" t="n">
        <x:f>$B53*Assumptions!$E$55</x:f>
        <x:v>853599.9999997806</x:v>
      </x:c>
      <x:c r="H53" s="61" t="n">
        <x:f>$B53*Assumptions!$E$56</x:f>
        <x:v>853599.9999997806</x:v>
      </x:c>
      <x:c r="I53" s="61" t="n">
        <x:f>$B53*Assumptions!$E$57</x:f>
        <x:v>2560799.9999993416</x:v>
      </x:c>
      <x:c r="J53" s="61" t="n">
        <x:f>$B53*Assumptions!$E$58</x:f>
        <x:v>1066999.9999997257</x:v>
      </x:c>
      <x:c r="K53" s="59" t="n">
        <x:f>ROUNDUP(C53/Assumptions!$C$7,0)</x:f>
        <x:v>9054</x:v>
      </x:c>
      <x:c r="L53" s="59" t="n">
        <x:f>ROUNDUP(D53/Assumptions!$C$8,0)</x:f>
        <x:v>200</x:v>
      </x:c>
      <x:c r="M53" s="59" t="n">
        <x:f>P52</x:f>
        <x:v>8968</x:v>
      </x:c>
      <x:c r="N53" s="59" t="n">
        <x:f>MAX(0,P53-M53+O53)</x:f>
        <x:v>1813</x:v>
      </x:c>
      <x:c r="O53" s="59" t="n">
        <x:f>IF(M53=0,0,MAX(ROUND(M53*IF(P53=0,0,(K53/Assumptions!$C$14+L53/Assumptions!$C$43)/P53),0),M53-P53))</x:f>
        <x:v>1527</x:v>
      </x:c>
      <x:c r="P53" s="59" t="n">
        <x:f>K53+L53</x:f>
        <x:v>9254</x:v>
      </x:c>
      <x:c r="Q53" s="60" t="n">
        <x:f>IF(M53=0,0,O53/M53)</x:f>
        <x:v>0.1702720785013381</x:v>
      </x:c>
      <x:c r="R53" s="59" t="n">
        <x:f>ROUNDUP(I53/((Assumptions!$C$12*Assumptions!$C$13)/Assumptions!$C$15),0)</x:f>
        <x:v>33</x:v>
      </x:c>
    </x:row>
    <x:row r="54">
      <x:c r="A54" s="56" t="n">
        <x:v>47757</x:v>
      </x:c>
      <x:c r="B54" s="61" t="n">
        <x:f>Assumptions!$C$35*(1+Assumptions!$C$36)*(1+Assumptions!$C$37)*(1+Assumptions!$C$38)*(1+Assumptions!$C$39)*0.075</x:f>
        <x:v>27150000.000000514</x:v>
      </x:c>
      <x:c r="C54" s="61" t="n">
        <x:f>$B54*Assumptions!$F$51</x:f>
        <x:v>14118000.000000268</x:v>
      </x:c>
      <x:c r="D54" s="61" t="n">
        <x:f>$B54*Assumptions!$F$52</x:f>
        <x:v>4072500.000000077</x:v>
      </x:c>
      <x:c r="E54" s="61" t="n">
        <x:f>$B54*Assumptions!$F$53</x:f>
        <x:v>3529500.000000067</x:v>
      </x:c>
      <x:c r="F54" s="61" t="n">
        <x:f>$B54*Assumptions!$F$54</x:f>
        <x:v>1900500.000000036</x:v>
      </x:c>
      <x:c r="G54" s="61" t="n">
        <x:f>$B54*Assumptions!$F$55</x:f>
        <x:v>814500.0000000154</x:v>
      </x:c>
      <x:c r="H54" s="61" t="n">
        <x:f>$B54*Assumptions!$F$56</x:f>
        <x:v>814500.0000000154</x:v>
      </x:c>
      <x:c r="I54" s="61" t="n">
        <x:f>$B54*Assumptions!$F$57</x:f>
        <x:v>1086000.0000000205</x:v>
      </x:c>
      <x:c r="J54" s="61" t="n">
        <x:f>$B54*Assumptions!$F$58</x:f>
        <x:v>814500.0000000154</x:v>
      </x:c>
      <x:c r="K54" s="59" t="n">
        <x:f>ROUNDUP(C54/Assumptions!$C$7,0)</x:f>
        <x:v>14261</x:v>
      </x:c>
      <x:c r="L54" s="59" t="n">
        <x:f>ROUNDUP(D54/Assumptions!$C$8,0)</x:f>
        <x:v>272</x:v>
      </x:c>
      <x:c r="M54" s="59" t="n">
        <x:f>P53</x:f>
        <x:v>9254</x:v>
      </x:c>
      <x:c r="N54" s="59" t="n">
        <x:f>MAX(0,P54-M54+O54)</x:f>
        <x:v>6850</x:v>
      </x:c>
      <x:c r="O54" s="59" t="n">
        <x:f>IF(M54=0,0,MAX(ROUND(M54*IF(P54=0,0,(K54/Assumptions!$C$14+L54/Assumptions!$C$43)/P54),0),M54-P54))</x:f>
        <x:v>1571</x:v>
      </x:c>
      <x:c r="P54" s="59" t="n">
        <x:f>K54+L54</x:f>
        <x:v>14533</x:v>
      </x:c>
      <x:c r="Q54" s="60" t="n">
        <x:f>IF(M54=0,0,O54/M54)</x:f>
        <x:v>0.16976442619407825</x:v>
      </x:c>
      <x:c r="R54" s="59" t="n">
        <x:f>ROUNDUP(I54/((Assumptions!$C$12*Assumptions!$C$13)/Assumptions!$C$15),0)</x:f>
        <x:v>14</x:v>
      </x:c>
    </x:row>
    <x:row r="55">
      <x:c r="A55" s="56" t="n">
        <x:v>47788</x:v>
      </x:c>
      <x:c r="B55" s="61" t="n">
        <x:f>Assumptions!$C$35*(1+Assumptions!$C$36)*(1+Assumptions!$C$37)*(1+Assumptions!$C$38)*(1+Assumptions!$C$39)*0.076</x:f>
        <x:v>27512000.00000052</x:v>
      </x:c>
      <x:c r="C55" s="61" t="n">
        <x:f>$B55*Assumptions!$F$51</x:f>
        <x:v>14306240.000000272</x:v>
      </x:c>
      <x:c r="D55" s="61" t="n">
        <x:f>$B55*Assumptions!$F$52</x:f>
        <x:v>4126800.000000078</x:v>
      </x:c>
      <x:c r="E55" s="61" t="n">
        <x:f>$B55*Assumptions!$F$53</x:f>
        <x:v>3576560.000000068</x:v>
      </x:c>
      <x:c r="F55" s="61" t="n">
        <x:f>$B55*Assumptions!$F$54</x:f>
        <x:v>1925840.0000000368</x:v>
      </x:c>
      <x:c r="G55" s="61" t="n">
        <x:f>$B55*Assumptions!$F$55</x:f>
        <x:v>825360.0000000156</x:v>
      </x:c>
      <x:c r="H55" s="61" t="n">
        <x:f>$B55*Assumptions!$F$56</x:f>
        <x:v>825360.0000000156</x:v>
      </x:c>
      <x:c r="I55" s="61" t="n">
        <x:f>$B55*Assumptions!$F$57</x:f>
        <x:v>1100480.000000021</x:v>
      </x:c>
      <x:c r="J55" s="61" t="n">
        <x:f>$B55*Assumptions!$F$58</x:f>
        <x:v>825360.0000000156</x:v>
      </x:c>
      <x:c r="K55" s="59" t="n">
        <x:f>ROUNDUP(C55/Assumptions!$C$7,0)</x:f>
        <x:v>14451</x:v>
      </x:c>
      <x:c r="L55" s="59" t="n">
        <x:f>ROUNDUP(D55/Assumptions!$C$8,0)</x:f>
        <x:v>276</x:v>
      </x:c>
      <x:c r="M55" s="59" t="n">
        <x:f>P54</x:f>
        <x:v>14533</x:v>
      </x:c>
      <x:c r="N55" s="59" t="n">
        <x:f>MAX(0,P55-M55+O55)</x:f>
        <x:v>2662</x:v>
      </x:c>
      <x:c r="O55" s="59" t="n">
        <x:f>IF(M55=0,0,MAX(ROUND(M55*IF(P55=0,0,(K55/Assumptions!$C$14+L55/Assumptions!$C$43)/P55),0),M55-P55))</x:f>
        <x:v>2468</x:v>
      </x:c>
      <x:c r="P55" s="59" t="n">
        <x:f>K55+L55</x:f>
        <x:v>14727</x:v>
      </x:c>
      <x:c r="Q55" s="60" t="n">
        <x:f>IF(M55=0,0,O55/M55)</x:f>
        <x:v>0.16982040872497076</x:v>
      </x:c>
      <x:c r="R55" s="59" t="n">
        <x:f>ROUNDUP(I55/((Assumptions!$C$12*Assumptions!$C$13)/Assumptions!$C$15),0)</x:f>
        <x:v>14</x:v>
      </x:c>
    </x:row>
    <x:row r="56">
      <x:c r="A56" s="56" t="n">
        <x:v>47818</x:v>
      </x:c>
      <x:c r="B56" s="61" t="n">
        <x:f>Assumptions!$C$35*(1+Assumptions!$C$36)*(1+Assumptions!$C$37)*(1+Assumptions!$C$38)*(1+Assumptions!$C$39)*0.077</x:f>
        <x:v>27874000.00000053</x:v>
      </x:c>
      <x:c r="C56" s="61" t="n">
        <x:f>$B56*Assumptions!$F$51</x:f>
        <x:v>14494480.000000276</x:v>
      </x:c>
      <x:c r="D56" s="61" t="n">
        <x:f>$B56*Assumptions!$F$52</x:f>
        <x:v>4181100.000000079</x:v>
      </x:c>
      <x:c r="E56" s="61" t="n">
        <x:f>$B56*Assumptions!$F$53</x:f>
        <x:v>3623620.000000069</x:v>
      </x:c>
      <x:c r="F56" s="61" t="n">
        <x:f>$B56*Assumptions!$F$54</x:f>
        <x:v>1951180.0000000373</x:v>
      </x:c>
      <x:c r="G56" s="61" t="n">
        <x:f>$B56*Assumptions!$F$55</x:f>
        <x:v>836220.0000000158</x:v>
      </x:c>
      <x:c r="H56" s="61" t="n">
        <x:f>$B56*Assumptions!$F$56</x:f>
        <x:v>836220.0000000158</x:v>
      </x:c>
      <x:c r="I56" s="61" t="n">
        <x:f>$B56*Assumptions!$F$57</x:f>
        <x:v>1114960.0000000212</x:v>
      </x:c>
      <x:c r="J56" s="61" t="n">
        <x:f>$B56*Assumptions!$F$58</x:f>
        <x:v>836220.0000000158</x:v>
      </x:c>
      <x:c r="K56" s="59" t="n">
        <x:f>ROUNDUP(C56/Assumptions!$C$7,0)</x:f>
        <x:v>14641</x:v>
      </x:c>
      <x:c r="L56" s="59" t="n">
        <x:f>ROUNDUP(D56/Assumptions!$C$8,0)</x:f>
        <x:v>279</x:v>
      </x:c>
      <x:c r="M56" s="59" t="n">
        <x:f>P55</x:f>
        <x:v>14727</x:v>
      </x:c>
      <x:c r="N56" s="59" t="n">
        <x:f>MAX(0,P56-M56+O56)</x:f>
        <x:v>2693</x:v>
      </x:c>
      <x:c r="O56" s="59" t="n">
        <x:f>IF(M56=0,0,MAX(ROUND(M56*IF(P56=0,0,(K56/Assumptions!$C$14+L56/Assumptions!$C$43)/P56),0),M56-P56))</x:f>
        <x:v>2500</x:v>
      </x:c>
      <x:c r="P56" s="59" t="n">
        <x:f>K56+L56</x:f>
        <x:v>14920</x:v>
      </x:c>
      <x:c r="Q56" s="60" t="n">
        <x:f>IF(M56=0,0,O56/M56)</x:f>
        <x:v>0.16975623005364296</x:v>
      </x:c>
      <x:c r="R56" s="59" t="n">
        <x:f>ROUNDUP(I56/((Assumptions!$C$12*Assumptions!$C$13)/Assumptions!$C$15),0)</x:f>
        <x:v>14</x:v>
      </x:c>
    </x:row>
    <x:row r="57">
      <x:c r="A57" s="56" t="n">
        <x:v>47849</x:v>
      </x:c>
      <x:c r="B57" s="61" t="n">
        <x:f>Assumptions!$C$35*(1+Assumptions!$C$36)*(1+Assumptions!$C$37)*(1+Assumptions!$C$38)*(1+Assumptions!$C$39)*0.079</x:f>
        <x:v>28598000.00000054</x:v>
      </x:c>
      <x:c r="C57" s="61" t="n">
        <x:f>$B57*Assumptions!$F$51</x:f>
        <x:v>14870960.000000281</x:v>
      </x:c>
      <x:c r="D57" s="61" t="n">
        <x:f>$B57*Assumptions!$F$52</x:f>
        <x:v>4289700.000000081</x:v>
      </x:c>
      <x:c r="E57" s="61" t="n">
        <x:f>$B57*Assumptions!$F$53</x:f>
        <x:v>3717740.0000000703</x:v>
      </x:c>
      <x:c r="F57" s="61" t="n">
        <x:f>$B57*Assumptions!$F$54</x:f>
        <x:v>2001860.000000038</x:v>
      </x:c>
      <x:c r="G57" s="61" t="n">
        <x:f>$B57*Assumptions!$F$55</x:f>
        <x:v>857940.0000000162</x:v>
      </x:c>
      <x:c r="H57" s="61" t="n">
        <x:f>$B57*Assumptions!$F$56</x:f>
        <x:v>857940.0000000162</x:v>
      </x:c>
      <x:c r="I57" s="61" t="n">
        <x:f>$B57*Assumptions!$F$57</x:f>
        <x:v>1143920.0000000217</x:v>
      </x:c>
      <x:c r="J57" s="61" t="n">
        <x:f>$B57*Assumptions!$F$58</x:f>
        <x:v>857940.0000000162</x:v>
      </x:c>
      <x:c r="K57" s="59" t="n">
        <x:f>ROUNDUP(C57/Assumptions!$C$7,0)</x:f>
        <x:v>15022</x:v>
      </x:c>
      <x:c r="L57" s="59" t="n">
        <x:f>ROUNDUP(D57/Assumptions!$C$8,0)</x:f>
        <x:v>287</x:v>
      </x:c>
      <x:c r="M57" s="59" t="n">
        <x:f>P56</x:f>
        <x:v>14920</x:v>
      </x:c>
      <x:c r="N57" s="59" t="n">
        <x:f>MAX(0,P57-M57+O57)</x:f>
        <x:v>2922</x:v>
      </x:c>
      <x:c r="O57" s="59" t="n">
        <x:f>IF(M57=0,0,MAX(ROUND(M57*IF(P57=0,0,(K57/Assumptions!$C$14+L57/Assumptions!$C$43)/P57),0),M57-P57))</x:f>
        <x:v>2533</x:v>
      </x:c>
      <x:c r="P57" s="59" t="n">
        <x:f>K57+L57</x:f>
        <x:v>15309</x:v>
      </x:c>
      <x:c r="Q57" s="60" t="n">
        <x:f>IF(M57=0,0,O57/M57)</x:f>
        <x:v>0.1697721179624665</x:v>
      </x:c>
      <x:c r="R57" s="59" t="n">
        <x:f>ROUNDUP(I57/((Assumptions!$C$12*Assumptions!$C$13)/Assumptions!$C$15),0)</x:f>
        <x:v>15</x:v>
      </x:c>
    </x:row>
    <x:row r="58">
      <x:c r="A58" s="56" t="n">
        <x:v>47880</x:v>
      </x:c>
      <x:c r="B58" s="61" t="n">
        <x:f>Assumptions!$C$35*(1+Assumptions!$C$36)*(1+Assumptions!$C$37)*(1+Assumptions!$C$38)*(1+Assumptions!$C$39)*0.08</x:f>
        <x:v>28960000.000000548</x:v>
      </x:c>
      <x:c r="C58" s="61" t="n">
        <x:f>$B58*Assumptions!$F$51</x:f>
        <x:v>15059200.000000285</x:v>
      </x:c>
      <x:c r="D58" s="61" t="n">
        <x:f>$B58*Assumptions!$F$52</x:f>
        <x:v>4344000.000000082</x:v>
      </x:c>
      <x:c r="E58" s="61" t="n">
        <x:f>$B58*Assumptions!$F$53</x:f>
        <x:v>3764800.0000000712</x:v>
      </x:c>
      <x:c r="F58" s="61" t="n">
        <x:f>$B58*Assumptions!$F$54</x:f>
        <x:v>2027200.0000000384</x:v>
      </x:c>
      <x:c r="G58" s="61" t="n">
        <x:f>$B58*Assumptions!$F$55</x:f>
        <x:v>868800.0000000164</x:v>
      </x:c>
      <x:c r="H58" s="61" t="n">
        <x:f>$B58*Assumptions!$F$56</x:f>
        <x:v>868800.0000000164</x:v>
      </x:c>
      <x:c r="I58" s="61" t="n">
        <x:f>$B58*Assumptions!$F$57</x:f>
        <x:v>1158400.000000022</x:v>
      </x:c>
      <x:c r="J58" s="61" t="n">
        <x:f>$B58*Assumptions!$F$58</x:f>
        <x:v>868800.0000000164</x:v>
      </x:c>
      <x:c r="K58" s="59" t="n">
        <x:f>ROUNDUP(C58/Assumptions!$C$7,0)</x:f>
        <x:v>15212</x:v>
      </x:c>
      <x:c r="L58" s="59" t="n">
        <x:f>ROUNDUP(D58/Assumptions!$C$8,0)</x:f>
        <x:v>290</x:v>
      </x:c>
      <x:c r="M58" s="59" t="n">
        <x:f>P57</x:f>
        <x:v>15309</x:v>
      </x:c>
      <x:c r="N58" s="59" t="n">
        <x:f>MAX(0,P58-M58+O58)</x:f>
        <x:v>2792</x:v>
      </x:c>
      <x:c r="O58" s="59" t="n">
        <x:f>IF(M58=0,0,MAX(ROUND(M58*IF(P58=0,0,(K58/Assumptions!$C$14+L58/Assumptions!$C$43)/P58),0),M58-P58))</x:f>
        <x:v>2599</x:v>
      </x:c>
      <x:c r="P58" s="59" t="n">
        <x:f>K58+L58</x:f>
        <x:v>15502</x:v>
      </x:c>
      <x:c r="Q58" s="60" t="n">
        <x:f>IF(M58=0,0,O58/M58)</x:f>
        <x:v>0.16976941668299694</x:v>
      </x:c>
      <x:c r="R58" s="59" t="n">
        <x:f>ROUNDUP(I58/((Assumptions!$C$12*Assumptions!$C$13)/Assumptions!$C$15),0)</x:f>
        <x:v>15</x:v>
      </x:c>
    </x:row>
    <x:row r="59">
      <x:c r="A59" s="56" t="n">
        <x:v>47908</x:v>
      </x:c>
      <x:c r="B59" s="61" t="n">
        <x:f>Assumptions!$C$35*(1+Assumptions!$C$36)*(1+Assumptions!$C$37)*(1+Assumptions!$C$38)*(1+Assumptions!$C$39)*0.081</x:f>
        <x:v>29322000.000000555</x:v>
      </x:c>
      <x:c r="C59" s="61" t="n">
        <x:f>$B59*Assumptions!$F$51</x:f>
        <x:v>15247440.000000289</x:v>
      </x:c>
      <x:c r="D59" s="61" t="n">
        <x:f>$B59*Assumptions!$F$52</x:f>
        <x:v>4398300.000000083</x:v>
      </x:c>
      <x:c r="E59" s="61" t="n">
        <x:f>$B59*Assumptions!$F$53</x:f>
        <x:v>3811860.000000072</x:v>
      </x:c>
      <x:c r="F59" s="61" t="n">
        <x:f>$B59*Assumptions!$F$54</x:f>
        <x:v>2052540.000000039</x:v>
      </x:c>
      <x:c r="G59" s="61" t="n">
        <x:f>$B59*Assumptions!$F$55</x:f>
        <x:v>879660.0000000166</x:v>
      </x:c>
      <x:c r="H59" s="61" t="n">
        <x:f>$B59*Assumptions!$F$56</x:f>
        <x:v>879660.0000000166</x:v>
      </x:c>
      <x:c r="I59" s="61" t="n">
        <x:f>$B59*Assumptions!$F$57</x:f>
        <x:v>1172880.0000000221</x:v>
      </x:c>
      <x:c r="J59" s="61" t="n">
        <x:f>$B59*Assumptions!$F$58</x:f>
        <x:v>879660.0000000166</x:v>
      </x:c>
      <x:c r="K59" s="59" t="n">
        <x:f>ROUNDUP(C59/Assumptions!$C$7,0)</x:f>
        <x:v>15402</x:v>
      </x:c>
      <x:c r="L59" s="59" t="n">
        <x:f>ROUNDUP(D59/Assumptions!$C$8,0)</x:f>
        <x:v>294</x:v>
      </x:c>
      <x:c r="M59" s="59" t="n">
        <x:f>P58</x:f>
        <x:v>15502</x:v>
      </x:c>
      <x:c r="N59" s="59" t="n">
        <x:f>MAX(0,P59-M59+O59)</x:f>
        <x:v>2826</x:v>
      </x:c>
      <x:c r="O59" s="59" t="n">
        <x:f>IF(M59=0,0,MAX(ROUND(M59*IF(P59=0,0,(K59/Assumptions!$C$14+L59/Assumptions!$C$43)/P59),0),M59-P59))</x:f>
        <x:v>2632</x:v>
      </x:c>
      <x:c r="P59" s="59" t="n">
        <x:f>K59+L59</x:f>
        <x:v>15696</x:v>
      </x:c>
      <x:c r="Q59" s="60" t="n">
        <x:f>IF(M59=0,0,O59/M59)</x:f>
        <x:v>0.1697845439298155</x:v>
      </x:c>
      <x:c r="R59" s="59" t="n">
        <x:f>ROUNDUP(I59/((Assumptions!$C$12*Assumptions!$C$13)/Assumptions!$C$15),0)</x:f>
        <x:v>15</x:v>
      </x:c>
    </x:row>
    <x:row r="60">
      <x:c r="A60" s="56" t="n">
        <x:v>47939</x:v>
      </x:c>
      <x:c r="B60" s="61" t="n">
        <x:f>Assumptions!$C$35*(1+Assumptions!$C$36)*(1+Assumptions!$C$37)*(1+Assumptions!$C$38)*(1+Assumptions!$C$39)*0.083</x:f>
        <x:v>30046000.00000057</x:v>
      </x:c>
      <x:c r="C60" s="61" t="n">
        <x:f>$B60*Assumptions!$F$51</x:f>
        <x:v>15623920.000000296</x:v>
      </x:c>
      <x:c r="D60" s="61" t="n">
        <x:f>$B60*Assumptions!$F$52</x:f>
        <x:v>4506900.000000086</x:v>
      </x:c>
      <x:c r="E60" s="61" t="n">
        <x:f>$B60*Assumptions!$F$53</x:f>
        <x:v>3905980.000000074</x:v>
      </x:c>
      <x:c r="F60" s="61" t="n">
        <x:f>$B60*Assumptions!$F$54</x:f>
        <x:v>2103220.00000004</x:v>
      </x:c>
      <x:c r="G60" s="61" t="n">
        <x:f>$B60*Assumptions!$F$55</x:f>
        <x:v>901380.0000000171</x:v>
      </x:c>
      <x:c r="H60" s="61" t="n">
        <x:f>$B60*Assumptions!$F$56</x:f>
        <x:v>901380.0000000171</x:v>
      </x:c>
      <x:c r="I60" s="61" t="n">
        <x:f>$B60*Assumptions!$F$57</x:f>
        <x:v>1201840.0000000228</x:v>
      </x:c>
      <x:c r="J60" s="61" t="n">
        <x:f>$B60*Assumptions!$F$58</x:f>
        <x:v>901380.0000000171</x:v>
      </x:c>
      <x:c r="K60" s="59" t="n">
        <x:f>ROUNDUP(C60/Assumptions!$C$7,0)</x:f>
        <x:v>15782</x:v>
      </x:c>
      <x:c r="L60" s="59" t="n">
        <x:f>ROUNDUP(D60/Assumptions!$C$8,0)</x:f>
        <x:v>301</x:v>
      </x:c>
      <x:c r="M60" s="59" t="n">
        <x:f>P59</x:f>
        <x:v>15696</x:v>
      </x:c>
      <x:c r="N60" s="59" t="n">
        <x:f>MAX(0,P60-M60+O60)</x:f>
        <x:v>3052</x:v>
      </x:c>
      <x:c r="O60" s="59" t="n">
        <x:f>IF(M60=0,0,MAX(ROUND(M60*IF(P60=0,0,(K60/Assumptions!$C$14+L60/Assumptions!$C$43)/P60),0),M60-P60))</x:f>
        <x:v>2665</x:v>
      </x:c>
      <x:c r="P60" s="59" t="n">
        <x:f>K60+L60</x:f>
        <x:v>16083</x:v>
      </x:c>
      <x:c r="Q60" s="60" t="n">
        <x:f>IF(M60=0,0,O60/M60)</x:f>
        <x:v>0.16978848114169215</x:v>
      </x:c>
      <x:c r="R60" s="59" t="n">
        <x:f>ROUNDUP(I60/((Assumptions!$C$12*Assumptions!$C$13)/Assumptions!$C$15),0)</x:f>
        <x:v>16</x:v>
      </x:c>
    </x:row>
    <x:row r="61">
      <x:c r="A61" s="56" t="n">
        <x:v>47969</x:v>
      </x:c>
      <x:c r="B61" s="61" t="n">
        <x:f>Assumptions!$C$35*(1+Assumptions!$C$36)*(1+Assumptions!$C$37)*(1+Assumptions!$C$38)*(1+Assumptions!$C$39)*0.084</x:f>
        <x:v>30408000.000000577</x:v>
      </x:c>
      <x:c r="C61" s="61" t="n">
        <x:f>$B61*Assumptions!$F$51</x:f>
        <x:v>15812160.0000003</x:v>
      </x:c>
      <x:c r="D61" s="61" t="n">
        <x:f>$B61*Assumptions!$F$52</x:f>
        <x:v>4561200.000000087</x:v>
      </x:c>
      <x:c r="E61" s="61" t="n">
        <x:f>$B61*Assumptions!$F$53</x:f>
        <x:v>3953040.000000075</x:v>
      </x:c>
      <x:c r="F61" s="61" t="n">
        <x:f>$B61*Assumptions!$F$54</x:f>
        <x:v>2128560.0000000405</x:v>
      </x:c>
      <x:c r="G61" s="61" t="n">
        <x:f>$B61*Assumptions!$F$55</x:f>
        <x:v>912240.0000000173</x:v>
      </x:c>
      <x:c r="H61" s="61" t="n">
        <x:f>$B61*Assumptions!$F$56</x:f>
        <x:v>912240.0000000173</x:v>
      </x:c>
      <x:c r="I61" s="61" t="n">
        <x:f>$B61*Assumptions!$F$57</x:f>
        <x:v>1216320.000000023</x:v>
      </x:c>
      <x:c r="J61" s="61" t="n">
        <x:f>$B61*Assumptions!$F$58</x:f>
        <x:v>912240.0000000173</x:v>
      </x:c>
      <x:c r="K61" s="59" t="n">
        <x:f>ROUNDUP(C61/Assumptions!$C$7,0)</x:f>
        <x:v>15972</x:v>
      </x:c>
      <x:c r="L61" s="59" t="n">
        <x:f>ROUNDUP(D61/Assumptions!$C$8,0)</x:f>
        <x:v>305</x:v>
      </x:c>
      <x:c r="M61" s="59" t="n">
        <x:f>P60</x:f>
        <x:v>16083</x:v>
      </x:c>
      <x:c r="N61" s="59" t="n">
        <x:f>MAX(0,P61-M61+O61)</x:f>
        <x:v>2925</x:v>
      </x:c>
      <x:c r="O61" s="59" t="n">
        <x:f>IF(M61=0,0,MAX(ROUND(M61*IF(P61=0,0,(K61/Assumptions!$C$14+L61/Assumptions!$C$43)/P61),0),M61-P61))</x:f>
        <x:v>2731</x:v>
      </x:c>
      <x:c r="P61" s="59" t="n">
        <x:f>K61+L61</x:f>
        <x:v>16277</x:v>
      </x:c>
      <x:c r="Q61" s="60" t="n">
        <x:f>IF(M61=0,0,O61/M61)</x:f>
        <x:v>0.1698066281166449</x:v>
      </x:c>
      <x:c r="R61" s="59" t="n">
        <x:f>ROUNDUP(I61/((Assumptions!$C$12*Assumptions!$C$13)/Assumptions!$C$15),0)</x:f>
        <x:v>16</x:v>
      </x:c>
    </x:row>
    <x:row r="62">
      <x:c r="A62" s="56" t="n">
        <x:v>48000</x:v>
      </x:c>
      <x:c r="B62" s="61" t="n">
        <x:f>Assumptions!$C$35*(1+Assumptions!$C$36)*(1+Assumptions!$C$37)*(1+Assumptions!$C$38)*(1+Assumptions!$C$39)*0.086</x:f>
        <x:v>31132000.00000059</x:v>
      </x:c>
      <x:c r="C62" s="61" t="n">
        <x:f>$B62*Assumptions!$F$51</x:f>
        <x:v>16188640.000000307</x:v>
      </x:c>
      <x:c r="D62" s="61" t="n">
        <x:f>$B62*Assumptions!$F$52</x:f>
        <x:v>4669800.0000000885</x:v>
      </x:c>
      <x:c r="E62" s="61" t="n">
        <x:f>$B62*Assumptions!$F$53</x:f>
        <x:v>4047160.000000077</x:v>
      </x:c>
      <x:c r="F62" s="61" t="n">
        <x:f>$B62*Assumptions!$F$54</x:f>
        <x:v>2179240.0000000414</x:v>
      </x:c>
      <x:c r="G62" s="61" t="n">
        <x:f>$B62*Assumptions!$F$55</x:f>
        <x:v>933960.0000000176</x:v>
      </x:c>
      <x:c r="H62" s="61" t="n">
        <x:f>$B62*Assumptions!$F$56</x:f>
        <x:v>933960.0000000176</x:v>
      </x:c>
      <x:c r="I62" s="61" t="n">
        <x:f>$B62*Assumptions!$F$57</x:f>
        <x:v>1245280.0000000235</x:v>
      </x:c>
      <x:c r="J62" s="61" t="n">
        <x:f>$B62*Assumptions!$F$58</x:f>
        <x:v>933960.0000000176</x:v>
      </x:c>
      <x:c r="K62" s="59" t="n">
        <x:f>ROUNDUP(C62/Assumptions!$C$7,0)</x:f>
        <x:v>16353</x:v>
      </x:c>
      <x:c r="L62" s="59" t="n">
        <x:f>ROUNDUP(D62/Assumptions!$C$8,0)</x:f>
        <x:v>312</x:v>
      </x:c>
      <x:c r="M62" s="59" t="n">
        <x:f>P61</x:f>
        <x:v>16277</x:v>
      </x:c>
      <x:c r="N62" s="59" t="n">
        <x:f>MAX(0,P62-M62+O62)</x:f>
        <x:v>3152</x:v>
      </x:c>
      <x:c r="O62" s="59" t="n">
        <x:f>IF(M62=0,0,MAX(ROUND(M62*IF(P62=0,0,(K62/Assumptions!$C$14+L62/Assumptions!$C$43)/P62),0),M62-P62))</x:f>
        <x:v>2764</x:v>
      </x:c>
      <x:c r="P62" s="59" t="n">
        <x:f>K62+L62</x:f>
        <x:v>16665</x:v>
      </x:c>
      <x:c r="Q62" s="60" t="n">
        <x:f>IF(M62=0,0,O62/M62)</x:f>
        <x:v>0.1698101615776863</x:v>
      </x:c>
      <x:c r="R62" s="59" t="n">
        <x:f>ROUNDUP(I62/((Assumptions!$C$12*Assumptions!$C$13)/Assumptions!$C$15),0)</x:f>
        <x:v>16</x:v>
      </x:c>
    </x:row>
    <x:row r="63">
      <x:c r="A63" s="56" t="n">
        <x:v>48030</x:v>
      </x:c>
      <x:c r="B63" s="61" t="n">
        <x:f>Assumptions!$C$35*(1+Assumptions!$C$36)*(1+Assumptions!$C$37)*(1+Assumptions!$C$38)*(1+Assumptions!$C$39)*0.088</x:f>
        <x:v>31856000.0000006</x:v>
      </x:c>
      <x:c r="C63" s="61" t="n">
        <x:f>$B63*Assumptions!$F$51</x:f>
        <x:v>16565120.000000313</x:v>
      </x:c>
      <x:c r="D63" s="61" t="n">
        <x:f>$B63*Assumptions!$F$52</x:f>
        <x:v>4778400.000000089</x:v>
      </x:c>
      <x:c r="E63" s="61" t="n">
        <x:f>$B63*Assumptions!$F$53</x:f>
        <x:v>4141280.000000078</x:v>
      </x:c>
      <x:c r="F63" s="61" t="n">
        <x:f>$B63*Assumptions!$F$54</x:f>
        <x:v>2229920.0000000424</x:v>
      </x:c>
      <x:c r="G63" s="61" t="n">
        <x:f>$B63*Assumptions!$F$55</x:f>
        <x:v>955680.0000000179</x:v>
      </x:c>
      <x:c r="H63" s="61" t="n">
        <x:f>$B63*Assumptions!$F$56</x:f>
        <x:v>955680.0000000179</x:v>
      </x:c>
      <x:c r="I63" s="61" t="n">
        <x:f>$B63*Assumptions!$F$57</x:f>
        <x:v>1274240.000000024</x:v>
      </x:c>
      <x:c r="J63" s="61" t="n">
        <x:f>$B63*Assumptions!$F$58</x:f>
        <x:v>955680.0000000179</x:v>
      </x:c>
      <x:c r="K63" s="59" t="n">
        <x:f>ROUNDUP(C63/Assumptions!$C$7,0)</x:f>
        <x:v>16733</x:v>
      </x:c>
      <x:c r="L63" s="59" t="n">
        <x:f>ROUNDUP(D63/Assumptions!$C$8,0)</x:f>
        <x:v>319</x:v>
      </x:c>
      <x:c r="M63" s="59" t="n">
        <x:f>P62</x:f>
        <x:v>16665</x:v>
      </x:c>
      <x:c r="N63" s="59" t="n">
        <x:f>MAX(0,P63-M63+O63)</x:f>
        <x:v>3216</x:v>
      </x:c>
      <x:c r="O63" s="59" t="n">
        <x:f>IF(M63=0,0,MAX(ROUND(M63*IF(P63=0,0,(K63/Assumptions!$C$14+L63/Assumptions!$C$43)/P63),0),M63-P63))</x:f>
        <x:v>2829</x:v>
      </x:c>
      <x:c r="P63" s="59" t="n">
        <x:f>K63+L63</x:f>
        <x:v>17052</x:v>
      </x:c>
      <x:c r="Q63" s="60" t="n">
        <x:f>IF(M63=0,0,O63/M63)</x:f>
        <x:v>0.16975697569756976</x:v>
      </x:c>
      <x:c r="R63" s="59" t="n">
        <x:f>ROUNDUP(I63/((Assumptions!$C$12*Assumptions!$C$13)/Assumptions!$C$15),0)</x:f>
        <x:v>16</x:v>
      </x:c>
    </x:row>
    <x:row r="64">
      <x:c r="A64" s="56" t="n">
        <x:v>48061</x:v>
      </x:c>
      <x:c r="B64" s="61" t="n">
        <x:f>Assumptions!$C$35*(1+Assumptions!$C$36)*(1+Assumptions!$C$37)*(1+Assumptions!$C$38)*(1+Assumptions!$C$39)*0.094</x:f>
        <x:v>34028000.00000064</x:v>
      </x:c>
      <x:c r="C64" s="61" t="n">
        <x:f>$B64*Assumptions!$F$51</x:f>
        <x:v>17694560.000000335</x:v>
      </x:c>
      <x:c r="D64" s="61" t="n">
        <x:f>$B64*Assumptions!$F$52</x:f>
        <x:v>5104200.000000096</x:v>
      </x:c>
      <x:c r="E64" s="61" t="n">
        <x:f>$B64*Assumptions!$F$53</x:f>
        <x:v>4423640.000000084</x:v>
      </x:c>
      <x:c r="F64" s="61" t="n">
        <x:f>$B64*Assumptions!$F$54</x:f>
        <x:v>2381960.000000045</x:v>
      </x:c>
      <x:c r="G64" s="61" t="n">
        <x:f>$B64*Assumptions!$F$55</x:f>
        <x:v>1020840.0000000192</x:v>
      </x:c>
      <x:c r="H64" s="61" t="n">
        <x:f>$B64*Assumptions!$F$56</x:f>
        <x:v>1020840.0000000192</x:v>
      </x:c>
      <x:c r="I64" s="61" t="n">
        <x:f>$B64*Assumptions!$F$57</x:f>
        <x:v>1361120.0000000256</x:v>
      </x:c>
      <x:c r="J64" s="61" t="n">
        <x:f>$B64*Assumptions!$F$58</x:f>
        <x:v>1020840.0000000192</x:v>
      </x:c>
      <x:c r="K64" s="59" t="n">
        <x:f>ROUNDUP(C64/Assumptions!$C$7,0)</x:f>
        <x:v>17874</x:v>
      </x:c>
      <x:c r="L64" s="59" t="n">
        <x:f>ROUNDUP(D64/Assumptions!$C$8,0)</x:f>
        <x:v>341</x:v>
      </x:c>
      <x:c r="M64" s="59" t="n">
        <x:f>P63</x:f>
        <x:v>17052</x:v>
      </x:c>
      <x:c r="N64" s="59" t="n">
        <x:f>MAX(0,P64-M64+O64)</x:f>
        <x:v>4058</x:v>
      </x:c>
      <x:c r="O64" s="59" t="n">
        <x:f>IF(M64=0,0,MAX(ROUND(M64*IF(P64=0,0,(K64/Assumptions!$C$14+L64/Assumptions!$C$43)/P64),0),M64-P64))</x:f>
        <x:v>2895</x:v>
      </x:c>
      <x:c r="P64" s="59" t="n">
        <x:f>K64+L64</x:f>
        <x:v>18215</x:v>
      </x:c>
      <x:c r="Q64" s="60" t="n">
        <x:f>IF(M64=0,0,O64/M64)</x:f>
        <x:v>0.16977480647431387</x:v>
      </x:c>
      <x:c r="R64" s="59" t="n">
        <x:f>ROUNDUP(I64/((Assumptions!$C$12*Assumptions!$C$13)/Assumptions!$C$15),0)</x:f>
        <x:v>18</x:v>
      </x:c>
    </x:row>
    <x:row r="65">
      <x:c r="A65" s="56" t="n">
        <x:v>48092</x:v>
      </x:c>
      <x:c r="B65" s="61" t="n">
        <x:f>Assumptions!$C$35*(1+Assumptions!$C$36)*(1+Assumptions!$C$37)*(1+Assumptions!$C$38)*(1+Assumptions!$C$39)*0.097</x:f>
        <x:v>35114000.00000066</x:v>
      </x:c>
      <x:c r="C65" s="61" t="n">
        <x:f>$B65*Assumptions!$F$51</x:f>
        <x:v>18259280.000000346</x:v>
      </x:c>
      <x:c r="D65" s="61" t="n">
        <x:f>$B65*Assumptions!$F$52</x:f>
        <x:v>5267100.0000001</x:v>
      </x:c>
      <x:c r="E65" s="61" t="n">
        <x:f>$B65*Assumptions!$F$53</x:f>
        <x:v>4564820.000000087</x:v>
      </x:c>
      <x:c r="F65" s="61" t="n">
        <x:f>$B65*Assumptions!$F$54</x:f>
        <x:v>2457980.0000000466</x:v>
      </x:c>
      <x:c r="G65" s="61" t="n">
        <x:f>$B65*Assumptions!$F$55</x:f>
        <x:v>1053420.0000000198</x:v>
      </x:c>
      <x:c r="H65" s="61" t="n">
        <x:f>$B65*Assumptions!$F$56</x:f>
        <x:v>1053420.0000000198</x:v>
      </x:c>
      <x:c r="I65" s="61" t="n">
        <x:f>$B65*Assumptions!$F$57</x:f>
        <x:v>1404560.0000000265</x:v>
      </x:c>
      <x:c r="J65" s="61" t="n">
        <x:f>$B65*Assumptions!$F$58</x:f>
        <x:v>1053420.0000000198</x:v>
      </x:c>
      <x:c r="K65" s="59" t="n">
        <x:f>ROUNDUP(C65/Assumptions!$C$7,0)</x:f>
        <x:v>18444</x:v>
      </x:c>
      <x:c r="L65" s="59" t="n">
        <x:f>ROUNDUP(D65/Assumptions!$C$8,0)</x:f>
        <x:v>352</x:v>
      </x:c>
      <x:c r="M65" s="59" t="n">
        <x:f>P64</x:f>
        <x:v>18215</x:v>
      </x:c>
      <x:c r="N65" s="59" t="n">
        <x:f>MAX(0,P65-M65+O65)</x:f>
        <x:v>3674</x:v>
      </x:c>
      <x:c r="O65" s="59" t="n">
        <x:f>IF(M65=0,0,MAX(ROUND(M65*IF(P65=0,0,(K65/Assumptions!$C$14+L65/Assumptions!$C$43)/P65),0),M65-P65))</x:f>
        <x:v>3093</x:v>
      </x:c>
      <x:c r="P65" s="59" t="n">
        <x:f>K65+L65</x:f>
        <x:v>18796</x:v>
      </x:c>
      <x:c r="Q65" s="60" t="n">
        <x:f>IF(M65=0,0,O65/M65)</x:f>
        <x:v>0.16980510568213011</x:v>
      </x:c>
      <x:c r="R65" s="59" t="n">
        <x:f>ROUNDUP(I65/((Assumptions!$C$12*Assumptions!$C$13)/Assumptions!$C$15),0)</x:f>
        <x:v>18</x:v>
      </x:c>
    </x:row>
    <x:row r="66">
      <x:c r="A66" s="48"/>
      <x:c r="B66" s="48"/>
      <x:c r="C66" s="48"/>
      <x:c r="D66" s="48"/>
      <x:c r="E66" s="48"/>
      <x:c r="F66" s="48"/>
      <x:c r="G66" s="48"/>
      <x:c r="H66" s="48"/>
      <x:c r="I66" s="48"/>
      <x:c r="J66" s="48"/>
      <x:c r="K66" s="48"/>
      <x:c r="L66" s="48"/>
      <x:c r="M66" s="48"/>
      <x:c r="N66" s="48"/>
      <x:c r="O66" s="48"/>
      <x:c r="P66" s="48"/>
      <x:c r="Q66" s="48"/>
      <x:c r="R66" s="48"/>
    </x:row>
    <x:row r="67">
      <x:c r="A67" s="48"/>
      <x:c r="B67" s="48"/>
      <x:c r="C67" s="48"/>
      <x:c r="D67" s="48"/>
      <x:c r="E67" s="48"/>
      <x:c r="F67" s="48"/>
      <x:c r="G67" s="48"/>
      <x:c r="H67" s="48"/>
      <x:c r="I67" s="48"/>
      <x:c r="J67" s="48"/>
      <x:c r="K67" s="48"/>
      <x:c r="L67" s="48"/>
      <x:c r="M67" s="48"/>
      <x:c r="N67" s="48"/>
      <x:c r="O67" s="48"/>
      <x:c r="P67" s="48"/>
      <x:c r="Q67" s="48"/>
      <x:c r="R67" s="48"/>
    </x:row>
    <x:row r="68" ht="24" customHeight="1">
      <x:c r="A68" s="37" t="str">
        <x:v>Годовые итоги</x:v>
      </x:c>
      <x:c r="B68" s="37"/>
      <x:c r="C68" s="37"/>
      <x:c r="D68" s="37"/>
      <x:c r="E68" s="37"/>
      <x:c r="F68" s="37"/>
      <x:c r="G68" s="37"/>
      <x:c r="H68" s="37"/>
      <x:c r="I68" s="37"/>
      <x:c r="J68" s="37"/>
      <x:c r="K68" s="37"/>
      <x:c r="L68" s="37"/>
      <x:c r="M68" s="37"/>
      <x:c r="N68" s="37"/>
      <x:c r="O68" s="37"/>
      <x:c r="P68" s="37"/>
      <x:c r="Q68" s="37"/>
      <x:c r="R68" s="37"/>
    </x:row>
    <x:row r="69" ht="28" customHeight="1">
      <x:c r="A69" s="18" t="str">
        <x:v>Год</x:v>
      </x:c>
      <x:c r="B69" s="18" t="str">
        <x:v>Выручка всего</x:v>
      </x:c>
      <x:c r="C69" s="18" t="str">
        <x:v>Light</x:v>
      </x:c>
      <x:c r="D69" s="18" t="str">
        <x:v>С ассистентом</x:v>
      </x:c>
      <x:c r="E69" s="18" t="str">
        <x:v>AI-баланс</x:v>
      </x:c>
      <x:c r="F69" s="18" t="str">
        <x:v>Консультации</x:v>
      </x:c>
      <x:c r="G69" s="18" t="str">
        <x:v>Маршрут</x:v>
      </x:c>
      <x:c r="H69" s="18" t="str">
        <x:v>Индивидуальная карта</x:v>
      </x:c>
      <x:c r="I69" s="18" t="str">
        <x:v>Сопровождение ремонта</x:v>
      </x:c>
      <x:c r="J69" s="18" t="str">
        <x:v>Обучение</x:v>
      </x:c>
      <x:c r="K69" s="18" t="str">
        <x:v>Активные пользователи в начале</x:v>
      </x:c>
      <x:c r="L69" s="18" t="str">
        <x:v>Новые пользователи</x:v>
      </x:c>
      <x:c r="M69" s="18" t="str">
        <x:v>Ушедшие пользователи</x:v>
      </x:c>
      <x:c r="N69" s="18" t="str">
        <x:v>Активные пользователи в конце</x:v>
      </x:c>
      <x:c r="O69" s="18" t="str">
        <x:v>Средний месячный отток</x:v>
      </x:c>
      <x:c r="P69" s="18" t="str">
        <x:v>Light, клиент-месяцы</x:v>
      </x:c>
      <x:c r="Q69" s="18" t="str">
        <x:v>С экспертом, клиент-месяцы</x:v>
      </x:c>
      <x:c r="R69" s="18" t="str">
        <x:v>Максимум активных объектов</x:v>
      </x:c>
    </x:row>
    <x:row r="70" ht="46" customHeight="1">
      <x:c r="A70" s="22" t="str">
        <x:v>Номер года модели</x:v>
      </x:c>
      <x:c r="B70" s="22" t="str">
        <x:v>Сумма за 12 месяцев</x:v>
      </x:c>
      <x:c r="C70" s="22" t="str">
        <x:v>Сумма за 12 месяцев</x:v>
      </x:c>
      <x:c r="D70" s="22" t="str">
        <x:v>Сумма за 12 месяцев</x:v>
      </x:c>
      <x:c r="E70" s="22" t="str">
        <x:v>Сумма за 12 месяцев</x:v>
      </x:c>
      <x:c r="F70" s="22" t="str">
        <x:v>Сумма за 12 месяцев</x:v>
      </x:c>
      <x:c r="G70" s="22" t="str">
        <x:v>Сумма за 12 месяцев</x:v>
      </x:c>
      <x:c r="H70" s="22" t="str">
        <x:v>Сумма за 12 месяцев</x:v>
      </x:c>
      <x:c r="I70" s="22" t="str">
        <x:v>Сумма за 12 месяцев</x:v>
      </x:c>
      <x:c r="J70" s="22" t="str">
        <x:v>Сумма за 12 месяцев</x:v>
      </x:c>
      <x:c r="K70" s="22" t="str">
        <x:v>База на начало первого месяца года</x:v>
      </x:c>
      <x:c r="L70" s="22" t="str">
        <x:v>Сумма новых пользователей за год</x:v>
      </x:c>
      <x:c r="M70" s="22" t="str">
        <x:v>Сумма ушедших пользователей за год</x:v>
      </x:c>
      <x:c r="N70" s="22" t="str">
        <x:v>База на конец последнего месяца года</x:v>
      </x:c>
      <x:c r="O70" s="22" t="str">
        <x:v>Ушедшие пользователи / сумма базы на начало месяцев</x:v>
      </x:c>
      <x:c r="P70" s="22" t="str">
        <x:v>Сумма активных Light по месяцам</x:v>
      </x:c>
      <x:c r="Q70" s="22" t="str">
        <x:v>Сумма активных пользователей с экспертом по месяцам</x:v>
      </x:c>
      <x:c r="R70" s="22" t="str">
        <x:v>Пиковая одновременная нагрузка</x:v>
      </x:c>
    </x:row>
    <x:row r="71">
      <x:c r="A71" s="62" t="str">
        <x:v>Год 1</x:v>
      </x:c>
      <x:c r="B71" s="63" t="n">
        <x:f>SUM(B6:B17)</x:f>
        <x:v>65000000</x:v>
      </x:c>
      <x:c r="C71" s="63" t="n">
        <x:f>SUM(C6:C17)</x:f>
        <x:v>9750000</x:v>
      </x:c>
      <x:c r="D71" s="63" t="n">
        <x:f>SUM(D6:D17)</x:f>
        <x:v>5200000</x:v>
      </x:c>
      <x:c r="E71" s="63" t="n">
        <x:f>SUM(E6:E17)</x:f>
        <x:v>4550000.000000001</x:v>
      </x:c>
      <x:c r="F71" s="63" t="n">
        <x:f>SUM(F6:F17)</x:f>
        <x:v>3250000</x:v>
      </x:c>
      <x:c r="G71" s="63" t="n">
        <x:f>SUM(G6:G17)</x:f>
        <x:v>3250000</x:v>
      </x:c>
      <x:c r="H71" s="63" t="n">
        <x:f>SUM(H6:H17)</x:f>
        <x:v>6500000</x:v>
      </x:c>
      <x:c r="I71" s="63" t="n">
        <x:f>SUM(I6:I17)</x:f>
        <x:v>29250000</x:v>
      </x:c>
      <x:c r="J71" s="63" t="n">
        <x:f>SUM(J6:J17)</x:f>
        <x:v>3250000</x:v>
      </x:c>
      <x:c r="K71" s="64" t="n">
        <x:f>M6</x:f>
        <x:v>0</x:v>
      </x:c>
      <x:c r="L71" s="64" t="n">
        <x:f>SUM(N6:N17)</x:f>
        <x:v>2580</x:v>
      </x:c>
      <x:c r="M71" s="64" t="n">
        <x:f>SUM(O6:O17)</x:f>
        <x:v>1590</x:v>
      </x:c>
      <x:c r="N71" s="64" t="n">
        <x:f>P17</x:f>
        <x:v>990</x:v>
      </x:c>
      <x:c r="O71" s="65" t="n">
        <x:f>IF(SUM(M6:M17)=0,0,SUM(O6:O17)/SUM(M6:M17))</x:f>
        <x:v>0.17250732342410763</x:v>
      </x:c>
      <x:c r="P71" s="64" t="n">
        <x:f>SUM(K6:K17)</x:f>
        <x:v>9854</x:v>
      </x:c>
      <x:c r="Q71" s="64" t="n">
        <x:f>SUM(L6:L17)</x:f>
        <x:v>353</x:v>
      </x:c>
      <x:c r="R71" s="64" t="n">
        <x:f>MAX(R6:R17)</x:f>
        <x:v>36</x:v>
      </x:c>
    </x:row>
    <x:row r="72">
      <x:c r="A72" s="66" t="str">
        <x:v>Год 2</x:v>
      </x:c>
      <x:c r="B72" s="67" t="n">
        <x:f>SUM(B18:B29)</x:f>
        <x:v>94999999.99997002</x:v>
      </x:c>
      <x:c r="C72" s="67" t="n">
        <x:f>SUM(C18:C29)</x:f>
        <x:v>20899999.9999934</x:v>
      </x:c>
      <x:c r="D72" s="67" t="n">
        <x:f>SUM(D18:D29)</x:f>
        <x:v>9499999.999997003</x:v>
      </x:c>
      <x:c r="E72" s="67" t="n">
        <x:f>SUM(E18:E29)</x:f>
        <x:v>7599999.9999976</x:v>
      </x:c>
      <x:c r="F72" s="67" t="n">
        <x:f>SUM(F18:F29)</x:f>
        <x:v>4749999.9999985015</x:v>
      </x:c>
      <x:c r="G72" s="67" t="n">
        <x:f>SUM(G18:G29)</x:f>
        <x:v>4749999.9999985015</x:v>
      </x:c>
      <x:c r="H72" s="67" t="n">
        <x:f>SUM(H18:H29)</x:f>
        <x:v>7599999.9999976</x:v>
      </x:c>
      <x:c r="I72" s="67" t="n">
        <x:f>SUM(I18:I29)</x:f>
        <x:v>35149999.9999889</x:v>
      </x:c>
      <x:c r="J72" s="67" t="n">
        <x:f>SUM(J18:J29)</x:f>
        <x:v>4749999.9999985015</x:v>
      </x:c>
      <x:c r="K72" s="68" t="n">
        <x:f>M18</x:f>
        <x:v>990</x:v>
      </x:c>
      <x:c r="L72" s="68" t="n">
        <x:f>SUM(N18:N29)</x:f>
        <x:v>4661</x:v>
      </x:c>
      <x:c r="M72" s="68" t="n">
        <x:f>SUM(O18:O29)</x:f>
        <x:v>3541</x:v>
      </x:c>
      <x:c r="N72" s="68" t="n">
        <x:f>P29</x:f>
        <x:v>2110</x:v>
      </x:c>
      <x:c r="O72" s="69" t="n">
        <x:f>IF(SUM(M18:M29)=0,0,SUM(O18:O29)/SUM(M18:M29))</x:f>
        <x:v>0.17159333204109323</x:v>
      </x:c>
      <x:c r="P72" s="68" t="n">
        <x:f>SUM(K18:K29)</x:f>
        <x:v>21116</x:v>
      </x:c>
      <x:c r="Q72" s="68" t="n">
        <x:f>SUM(L18:L29)</x:f>
        <x:v>640</x:v>
      </x:c>
      <x:c r="R72" s="68" t="n">
        <x:f>MAX(R18:R29)</x:f>
        <x:v>43</x:v>
      </x:c>
    </x:row>
    <x:row r="73">
      <x:c r="A73" s="70" t="str">
        <x:v>Год 3</x:v>
      </x:c>
      <x:c r="B73" s="71" t="n">
        <x:f>SUM(B30:B41)</x:f>
        <x:v>139999999.9999258</x:v>
      </x:c>
      <x:c r="C73" s="71" t="n">
        <x:f>SUM(C30:C41)</x:f>
        <x:v>44799999.999976255</x:v>
      </x:c>
      <x:c r="D73" s="71" t="n">
        <x:f>SUM(D30:D41)</x:f>
        <x:v>16799999.999991097</x:v>
      </x:c>
      <x:c r="E73" s="71" t="n">
        <x:f>SUM(E30:E41)</x:f>
        <x:v>13999999.99999258</x:v>
      </x:c>
      <x:c r="F73" s="71" t="n">
        <x:f>SUM(F30:F41)</x:f>
        <x:v>8399999.999995548</x:v>
      </x:c>
      <x:c r="G73" s="71" t="n">
        <x:f>SUM(G30:G41)</x:f>
        <x:v>6999999.99999629</x:v>
      </x:c>
      <x:c r="H73" s="71" t="n">
        <x:f>SUM(H30:H41)</x:f>
        <x:v>8399999.999995548</x:v>
      </x:c>
      <x:c r="I73" s="71" t="n">
        <x:f>SUM(I30:I41)</x:f>
        <x:v>33599999.99998219</x:v>
      </x:c>
      <x:c r="J73" s="71" t="n">
        <x:f>SUM(J30:J41)</x:f>
        <x:v>6999999.99999629</x:v>
      </x:c>
      <x:c r="K73" s="72" t="n">
        <x:f>M30</x:f>
        <x:v>2110</x:v>
      </x:c>
      <x:c r="L73" s="72" t="n">
        <x:f>SUM(N30:N41)</x:f>
        <x:v>9898</x:v>
      </x:c>
      <x:c r="M73" s="72" t="n">
        <x:f>SUM(O30:O41)</x:f>
        <x:v>7509</x:v>
      </x:c>
      <x:c r="N73" s="72" t="n">
        <x:f>P41</x:f>
        <x:v>4499</x:v>
      </x:c>
      <x:c r="O73" s="73" t="n">
        <x:f>IF(SUM(M30:M41)=0,0,SUM(O30:O41)/SUM(M30:M41))</x:f>
        <x:v>0.17067072754960566</x:v>
      </x:c>
      <x:c r="P73" s="72" t="n">
        <x:f>SUM(K30:K41)</x:f>
        <x:v>45258</x:v>
      </x:c>
      <x:c r="Q73" s="72" t="n">
        <x:f>SUM(L30:L41)</x:f>
        <x:v>1128</x:v>
      </x:c>
      <x:c r="R73" s="72" t="n">
        <x:f>MAX(R30:R41)</x:f>
        <x:v>41</x:v>
      </x:c>
    </x:row>
    <x:row r="74">
      <x:c r="A74" s="74" t="str">
        <x:v>Год 4</x:v>
      </x:c>
      <x:c r="B74" s="75" t="n">
        <x:f>SUM(B42:B53)</x:f>
        <x:v>219999999.99994344</x:v>
      </x:c>
      <x:c r="C74" s="75" t="n">
        <x:f>SUM(C42:C53)</x:f>
        <x:v>92399999.99997623</x:v>
      </x:c>
      <x:c r="D74" s="75" t="n">
        <x:f>SUM(D42:D53)</x:f>
        <x:v>30799999.999992076</x:v>
      </x:c>
      <x:c r="E74" s="75" t="n">
        <x:f>SUM(E42:E53)</x:f>
        <x:v>26399999.999993213</x:v>
      </x:c>
      <x:c r="F74" s="75" t="n">
        <x:f>SUM(F42:F53)</x:f>
        <x:v>15399999.999996038</x:v>
      </x:c>
      <x:c r="G74" s="75" t="n">
        <x:f>SUM(G42:G53)</x:f>
        <x:v>8799999.999997737</x:v>
      </x:c>
      <x:c r="H74" s="75" t="n">
        <x:f>SUM(H42:H53)</x:f>
        <x:v>8799999.999997737</x:v>
      </x:c>
      <x:c r="I74" s="75" t="n">
        <x:f>SUM(I42:I53)</x:f>
        <x:v>26399999.999993213</x:v>
      </x:c>
      <x:c r="J74" s="75" t="n">
        <x:f>SUM(J42:J53)</x:f>
        <x:v>10999999.99999717</x:v>
      </x:c>
      <x:c r="K74" s="76" t="n">
        <x:f>M42</x:f>
        <x:v>4499</x:v>
      </x:c>
      <x:c r="L74" s="76" t="n">
        <x:f>SUM(N42:N53)</x:f>
        <x:v>20188</x:v>
      </x:c>
      <x:c r="M74" s="76" t="n">
        <x:f>SUM(O42:O53)</x:f>
        <x:v>15433</x:v>
      </x:c>
      <x:c r="N74" s="76" t="n">
        <x:f>P53</x:f>
        <x:v>9254</x:v>
      </x:c>
      <x:c r="O74" s="77" t="n">
        <x:f>IF(SUM(M42:M53)=0,0,SUM(O42:O53)/SUM(M42:M53))</x:f>
        <x:v>0.1702575983231287</x:v>
      </x:c>
      <x:c r="P74" s="76" t="n">
        <x:f>SUM(K42:K53)</x:f>
        <x:v>93338</x:v>
      </x:c>
      <x:c r="Q74" s="76" t="n">
        <x:f>SUM(L42:L53)</x:f>
        <x:v>2062</x:v>
      </x:c>
      <x:c r="R74" s="76" t="n">
        <x:f>MAX(R42:R53)</x:f>
        <x:v>33</x:v>
      </x:c>
    </x:row>
    <x:row r="75">
      <x:c r="A75" s="78" t="str">
        <x:v>Год 5</x:v>
      </x:c>
      <x:c r="B75" s="79" t="n">
        <x:f>SUM(B54:B65)</x:f>
        <x:v>362000000.00000685</x:v>
      </x:c>
      <x:c r="C75" s="79" t="n">
        <x:f>SUM(C54:C65)</x:f>
        <x:v>188240000.00000355</x:v>
      </x:c>
      <x:c r="D75" s="79" t="n">
        <x:f>SUM(D54:D65)</x:f>
        <x:v>54300000.00000103</x:v>
      </x:c>
      <x:c r="E75" s="79" t="n">
        <x:f>SUM(E54:E65)</x:f>
        <x:v>47060000.00000089</x:v>
      </x:c>
      <x:c r="F75" s="79" t="n">
        <x:f>SUM(F54:F65)</x:f>
        <x:v>25340000.000000477</x:v>
      </x:c>
      <x:c r="G75" s="79" t="n">
        <x:f>SUM(G54:G65)</x:f>
        <x:v>10860000.000000205</x:v>
      </x:c>
      <x:c r="H75" s="79" t="n">
        <x:f>SUM(H54:H65)</x:f>
        <x:v>10860000.000000205</x:v>
      </x:c>
      <x:c r="I75" s="79" t="n">
        <x:f>SUM(I54:I65)</x:f>
        <x:v>14480000.000000274</x:v>
      </x:c>
      <x:c r="J75" s="79" t="n">
        <x:f>SUM(J54:J65)</x:f>
        <x:v>10860000.000000205</x:v>
      </x:c>
      <x:c r="K75" s="80" t="n">
        <x:f>M54</x:f>
        <x:v>9254</x:v>
      </x:c>
      <x:c r="L75" s="80" t="n">
        <x:f>SUM(N54:N65)</x:f>
        <x:v>40822</x:v>
      </x:c>
      <x:c r="M75" s="80" t="n">
        <x:f>SUM(O54:O65)</x:f>
        <x:v>31280</x:v>
      </x:c>
      <x:c r="N75" s="80" t="n">
        <x:f>P65</x:f>
        <x:v>18796</x:v>
      </x:c>
      <x:c r="O75" s="81" t="n">
        <x:f>IF(SUM(M54:M65)=0,0,SUM(O54:O65)/SUM(M54:M65))</x:f>
        <x:v>0.16978500051565137</x:v>
      </x:c>
      <x:c r="P75" s="80" t="n">
        <x:f>SUM(K54:K65)</x:f>
        <x:v>190147</x:v>
      </x:c>
      <x:c r="Q75" s="80" t="n">
        <x:f>SUM(L54:L65)</x:f>
        <x:v>3628</x:v>
      </x:c>
      <x:c r="R75" s="80" t="n">
        <x:f>MAX(R54:R65)</x:f>
        <x:v>18</x:v>
      </x:c>
    </x:row>
  </x:sheetData>
  <x:mergeCells>
    <x:mergeCell ref="A1:R1"/>
    <x:mergeCell ref="A2:R2"/>
    <x:mergeCell ref="A68:R68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19" hidden="0" customWidth="1"/>
    <x:col min="3" max="3" width="18" hidden="0" customWidth="1"/>
    <x:col min="4" max="4" width="18" hidden="0" customWidth="1"/>
    <x:col min="5" max="5" width="19" hidden="0" customWidth="1"/>
    <x:col min="6" max="6" width="18" hidden="0" customWidth="1"/>
    <x:col min="7" max="7" width="36" hidden="0" customWidth="1"/>
    <x:col min="8" max="8" width="18" hidden="0" customWidth="1"/>
    <x:col min="9" max="9" width="19" hidden="0" customWidth="1"/>
    <x:col min="10" max="10" width="54" hidden="0" customWidth="1"/>
  </x:cols>
  <x:sheetData>
    <x:row r="1" ht="32" customHeight="1">
      <x:c r="A1" s="45" t="str">
        <x:v>Когортная экономика: самостоятельный ремонт и сопровождение</x:v>
      </x:c>
      <x:c r="B1" s="45"/>
      <x:c r="C1" s="45"/>
      <x:c r="D1" s="45"/>
      <x:c r="E1" s="45"/>
      <x:c r="F1" s="45"/>
      <x:c r="G1" s="45"/>
      <x:c r="H1" s="45"/>
      <x:c r="I1" s="45"/>
      <x:c r="J1" s="45"/>
    </x:row>
    <x:row r="2" ht="34" customHeight="1">
      <x:c r="A2" s="7" t="str">
        <x:v>CAC начисляется один раз на уникального клиента, а подписка, AI и последующие услуги формируют его общий LTV. Четыре продуктовые когорты отдельно сводятся в два направления: самостоятельный ремонт и сопровождение ремонта.</x:v>
      </x:c>
      <x:c r="B2" s="7"/>
      <x:c r="C2" s="7"/>
      <x:c r="D2" s="7"/>
      <x:c r="E2" s="7"/>
      <x:c r="F2" s="7"/>
      <x:c r="G2" s="7"/>
      <x:c r="H2" s="7"/>
      <x:c r="I2" s="7"/>
      <x:c r="J2" s="7"/>
    </x:row>
    <x:row r="3">
      <x:c r="A3" s="48"/>
      <x:c r="B3" s="48"/>
      <x:c r="C3" s="48"/>
      <x:c r="D3" s="48"/>
      <x:c r="E3" s="48"/>
      <x:c r="F3" s="48"/>
      <x:c r="G3" s="48"/>
      <x:c r="H3" s="48"/>
      <x:c r="I3" s="48"/>
      <x:c r="J3" s="48"/>
    </x:row>
    <x:row r="4" ht="28" customHeight="1">
      <x:c r="A4" s="18" t="str">
        <x:v>Продукт</x:v>
      </x:c>
      <x:c r="B4" s="18" t="str">
        <x:v>Год 1</x:v>
      </x:c>
      <x:c r="C4" s="18" t="str">
        <x:v>Год 2</x:v>
      </x:c>
      <x:c r="D4" s="18" t="str">
        <x:v>Год 3</x:v>
      </x:c>
      <x:c r="E4" s="18" t="str">
        <x:v>Год 4</x:v>
      </x:c>
      <x:c r="F4" s="18" t="str">
        <x:v>Год 5</x:v>
      </x:c>
      <x:c r="G4" s="18" t="str">
        <x:v>Расшифровка</x:v>
      </x:c>
      <x:c r="H4" s="48"/>
      <x:c r="I4" s="48"/>
      <x:c r="J4" s="48"/>
    </x:row>
    <x:row r="5" ht="46" customHeight="1">
      <x:c r="A5" s="22" t="str">
        <x:v>Источник выручки</x:v>
      </x:c>
      <x:c r="B5" s="22" t="str">
        <x:v>Выручка за год</x:v>
      </x:c>
      <x:c r="C5" s="22" t="str">
        <x:v>Выручка за год</x:v>
      </x:c>
      <x:c r="D5" s="22" t="str">
        <x:v>Выручка за год</x:v>
      </x:c>
      <x:c r="E5" s="22" t="str">
        <x:v>Выручка за год</x:v>
      </x:c>
      <x:c r="F5" s="22" t="str">
        <x:v>Выручка за год</x:v>
      </x:c>
      <x:c r="G5" s="22" t="str">
        <x:v>Роль в бизнес-модели</x:v>
      </x:c>
      <x:c r="H5" s="48"/>
      <x:c r="I5" s="48"/>
      <x:c r="J5" s="48"/>
    </x:row>
    <x:row r="6">
      <x:c r="A6" s="26" t="str">
        <x:v>Тариф 1: Light</x:v>
      </x:c>
      <x:c r="B6" s="42" t="n">
        <x:f>Revenue!C71</x:f>
        <x:v>9750000</x:v>
      </x:c>
      <x:c r="C6" s="42" t="n">
        <x:f>Revenue!C72</x:f>
        <x:v>20899999.9999934</x:v>
      </x:c>
      <x:c r="D6" s="42" t="n">
        <x:f>Revenue!C73</x:f>
        <x:v>44799999.999976255</x:v>
      </x:c>
      <x:c r="E6" s="42" t="n">
        <x:f>Revenue!C74</x:f>
        <x:v>92399999.99997623</x:v>
      </x:c>
      <x:c r="F6" s="42" t="n">
        <x:f>Revenue!C75</x:f>
        <x:v>188240000.00000355</x:v>
      </x:c>
      <x:c r="G6" s="26" t="str">
        <x:v>Самостоятельный ремонт, подписка на 6 месяцев</x:v>
      </x:c>
      <x:c r="H6" s="48"/>
      <x:c r="I6" s="48"/>
      <x:c r="J6" s="48"/>
    </x:row>
    <x:row r="7">
      <x:c r="A7" s="26" t="str">
        <x:v>Тариф 2: с экспертом</x:v>
      </x:c>
      <x:c r="B7" s="42" t="n">
        <x:f>Revenue!D71</x:f>
        <x:v>5200000</x:v>
      </x:c>
      <x:c r="C7" s="42" t="n">
        <x:f>Revenue!D72</x:f>
        <x:v>9499999.999997003</x:v>
      </x:c>
      <x:c r="D7" s="42" t="n">
        <x:f>Revenue!D73</x:f>
        <x:v>16799999.999991097</x:v>
      </x:c>
      <x:c r="E7" s="42" t="n">
        <x:f>Revenue!D74</x:f>
        <x:v>30799999.999992076</x:v>
      </x:c>
      <x:c r="F7" s="42" t="n">
        <x:f>Revenue!D75</x:f>
        <x:v>54300000.00000103</x:v>
      </x:c>
      <x:c r="G7" s="26" t="str">
        <x:v>Самостоятельный ремонт, подписка на 3 месяца</x:v>
      </x:c>
      <x:c r="H7" s="48"/>
      <x:c r="I7" s="48"/>
      <x:c r="J7" s="48"/>
    </x:row>
    <x:row r="8">
      <x:c r="A8" s="26" t="str">
        <x:v>AI-баланс</x:v>
      </x:c>
      <x:c r="B8" s="42" t="n">
        <x:f>Revenue!E71</x:f>
        <x:v>4550000.000000001</x:v>
      </x:c>
      <x:c r="C8" s="42" t="n">
        <x:f>Revenue!E72</x:f>
        <x:v>7599999.9999976</x:v>
      </x:c>
      <x:c r="D8" s="42" t="n">
        <x:f>Revenue!E73</x:f>
        <x:v>13999999.99999258</x:v>
      </x:c>
      <x:c r="E8" s="42" t="n">
        <x:f>Revenue!E74</x:f>
        <x:v>26399999.999993213</x:v>
      </x:c>
      <x:c r="F8" s="42" t="n">
        <x:f>Revenue!E75</x:f>
        <x:v>47060000.00000089</x:v>
      </x:c>
      <x:c r="G8" s="26" t="str">
        <x:v>Допродажа действующему клиенту без повторного полного CAC</x:v>
      </x:c>
      <x:c r="H8" s="48"/>
      <x:c r="I8" s="48"/>
      <x:c r="J8" s="48"/>
    </x:row>
    <x:row r="9">
      <x:c r="A9" s="26" t="str">
        <x:v>Дополнительные услуги</x:v>
      </x:c>
      <x:c r="B9" s="42" t="n">
        <x:f>Revenue!F71</x:f>
        <x:v>3250000</x:v>
      </x:c>
      <x:c r="C9" s="42" t="n">
        <x:f>Revenue!F72</x:f>
        <x:v>4749999.9999985015</x:v>
      </x:c>
      <x:c r="D9" s="42" t="n">
        <x:f>Revenue!F73</x:f>
        <x:v>8399999.999995548</x:v>
      </x:c>
      <x:c r="E9" s="42" t="n">
        <x:f>Revenue!F74</x:f>
        <x:v>15399999.999996038</x:v>
      </x:c>
      <x:c r="F9" s="42" t="n">
        <x:f>Revenue!F75</x:f>
        <x:v>25340000.000000477</x:v>
      </x:c>
      <x:c r="G9" s="26" t="str">
        <x:v>Консультации, выезды, приёмка и документы</x:v>
      </x:c>
      <x:c r="H9" s="48"/>
      <x:c r="I9" s="48"/>
      <x:c r="J9" s="48"/>
    </x:row>
    <x:row r="10">
      <x:c r="A10" s="26" t="str">
        <x:v>Типовой маршрут</x:v>
      </x:c>
      <x:c r="B10" s="42" t="n">
        <x:f>Revenue!G71</x:f>
        <x:v>3250000</x:v>
      </x:c>
      <x:c r="C10" s="42" t="n">
        <x:f>Revenue!G72</x:f>
        <x:v>4749999.9999985015</x:v>
      </x:c>
      <x:c r="D10" s="42" t="n">
        <x:f>Revenue!G73</x:f>
        <x:v>6999999.99999629</x:v>
      </x:c>
      <x:c r="E10" s="42" t="n">
        <x:f>Revenue!G74</x:f>
        <x:v>8799999.999997737</x:v>
      </x:c>
      <x:c r="F10" s="42" t="n">
        <x:f>Revenue!G75</x:f>
        <x:v>10860000.000000205</x:v>
      </x:c>
      <x:c r="G10" s="26" t="str">
        <x:v>Объединён с дополнительными услугами</x:v>
      </x:c>
      <x:c r="H10" s="48"/>
      <x:c r="I10" s="48"/>
      <x:c r="J10" s="48"/>
    </x:row>
    <x:row r="11">
      <x:c r="A11" s="26" t="str">
        <x:v>Индивидуальная карта</x:v>
      </x:c>
      <x:c r="B11" s="42" t="n">
        <x:f>Revenue!H71</x:f>
        <x:v>6500000</x:v>
      </x:c>
      <x:c r="C11" s="42" t="n">
        <x:f>Revenue!H72</x:f>
        <x:v>7599999.9999976</x:v>
      </x:c>
      <x:c r="D11" s="42" t="n">
        <x:f>Revenue!H73</x:f>
        <x:v>8399999.999995548</x:v>
      </x:c>
      <x:c r="E11" s="42" t="n">
        <x:f>Revenue!H74</x:f>
        <x:v>8799999.999997737</x:v>
      </x:c>
      <x:c r="F11" s="42" t="n">
        <x:f>Revenue!H75</x:f>
        <x:v>10860000.000000205</x:v>
      </x:c>
      <x:c r="G11" s="26" t="str">
        <x:v>Входит в когорту сопровождения ремонта</x:v>
      </x:c>
      <x:c r="H11" s="48"/>
      <x:c r="I11" s="48"/>
      <x:c r="J11" s="48"/>
    </x:row>
    <x:row r="12">
      <x:c r="A12" s="26" t="str">
        <x:v>Сопровождение ремонта</x:v>
      </x:c>
      <x:c r="B12" s="42" t="n">
        <x:f>Revenue!I71</x:f>
        <x:v>29250000</x:v>
      </x:c>
      <x:c r="C12" s="42" t="n">
        <x:f>Revenue!I72</x:f>
        <x:v>35149999.9999889</x:v>
      </x:c>
      <x:c r="D12" s="42" t="n">
        <x:f>Revenue!I73</x:f>
        <x:v>33599999.99998219</x:v>
      </x:c>
      <x:c r="E12" s="42" t="n">
        <x:f>Revenue!I74</x:f>
        <x:v>26399999.999993213</x:v>
      </x:c>
      <x:c r="F12" s="42" t="n">
        <x:f>Revenue!I75</x:f>
        <x:v>14480000.000000274</x:v>
      </x:c>
      <x:c r="G12" s="26" t="str">
        <x:v>Руководитель проекта и проверенные специалисты</x:v>
      </x:c>
      <x:c r="H12" s="48"/>
      <x:c r="I12" s="48"/>
      <x:c r="J12" s="48"/>
    </x:row>
    <x:row r="13">
      <x:c r="A13" s="26" t="str">
        <x:v>Обучение</x:v>
      </x:c>
      <x:c r="B13" s="42" t="n">
        <x:f>Revenue!J71</x:f>
        <x:v>3250000</x:v>
      </x:c>
      <x:c r="C13" s="42" t="n">
        <x:f>Revenue!J72</x:f>
        <x:v>4749999.9999985015</x:v>
      </x:c>
      <x:c r="D13" s="42" t="n">
        <x:f>Revenue!J73</x:f>
        <x:v>6999999.99999629</x:v>
      </x:c>
      <x:c r="E13" s="42" t="n">
        <x:f>Revenue!J74</x:f>
        <x:v>10999999.99999717</x:v>
      </x:c>
      <x:c r="F13" s="42" t="n">
        <x:f>Revenue!J75</x:f>
        <x:v>10860000.000000205</x:v>
      </x:c>
      <x:c r="G13" s="26" t="str">
        <x:v>Отдельная B2B-линия, не входит в клиентские когорты</x:v>
      </x:c>
      <x:c r="H13" s="48"/>
      <x:c r="I13" s="48"/>
      <x:c r="J13" s="48"/>
    </x:row>
    <x:row r="14">
      <x:c r="A14" s="48"/>
      <x:c r="B14" s="48"/>
      <x:c r="C14" s="48"/>
      <x:c r="D14" s="48"/>
      <x:c r="E14" s="48"/>
      <x:c r="F14" s="48"/>
      <x:c r="G14" s="48"/>
      <x:c r="H14" s="48"/>
      <x:c r="I14" s="48"/>
      <x:c r="J14" s="48"/>
    </x:row>
    <x:row r="15">
      <x:c r="A15" s="49" t="str">
        <x:v>Доля выручки самостоятельного ремонта</x:v>
      </x:c>
      <x:c r="B15" s="50" t="n">
        <x:f>SUM(B6:B10)/SUM(B6:B13)</x:f>
        <x:v>0.4</x:v>
      </x:c>
      <x:c r="C15" s="50" t="n">
        <x:f>SUM(C6:C10)/SUM(C6:C13)</x:f>
        <x:v>0.5000000000000001</x:v>
      </x:c>
      <x:c r="D15" s="50" t="n">
        <x:f>SUM(D6:D10)/SUM(D6:D13)</x:f>
        <x:v>0.65</x:v>
      </x:c>
      <x:c r="E15" s="50" t="n">
        <x:f>SUM(E6:E10)/SUM(E6:E13)</x:f>
        <x:v>0.79</x:v>
      </x:c>
      <x:c r="F15" s="50" t="n">
        <x:f>SUM(F6:F10)/SUM(F6:F13)</x:f>
        <x:v>0.9</x:v>
      </x:c>
      <x:c r="G15" s="49" t="str">
        <x:v>Light, тариф с экспертом, AI, консультации и типовой маршрут</x:v>
      </x:c>
      <x:c r="H15" s="48"/>
      <x:c r="I15" s="48"/>
      <x:c r="J15" s="48"/>
    </x:row>
    <x:row r="16">
      <x:c r="A16" s="48"/>
      <x:c r="B16" s="48"/>
      <x:c r="C16" s="48"/>
      <x:c r="D16" s="48"/>
      <x:c r="E16" s="48"/>
      <x:c r="F16" s="48"/>
      <x:c r="G16" s="48"/>
      <x:c r="H16" s="48"/>
      <x:c r="I16" s="48"/>
      <x:c r="J16" s="48"/>
    </x:row>
    <x:row r="17">
      <x:c r="A17" s="48"/>
      <x:c r="B17" s="48"/>
      <x:c r="C17" s="48"/>
      <x:c r="D17" s="48"/>
      <x:c r="E17" s="48"/>
      <x:c r="F17" s="48"/>
      <x:c r="G17" s="48"/>
      <x:c r="H17" s="48"/>
      <x:c r="I17" s="48"/>
      <x:c r="J17" s="48"/>
    </x:row>
    <x:row r="18" ht="24" customHeight="1">
      <x:c r="A18" s="37" t="str">
        <x:v>Четыре продуктовые когорты — год 1</x:v>
      </x:c>
      <x:c r="B18" s="37"/>
      <x:c r="C18" s="37"/>
      <x:c r="D18" s="37"/>
      <x:c r="E18" s="37"/>
      <x:c r="F18" s="37"/>
      <x:c r="G18" s="37"/>
      <x:c r="H18" s="37"/>
      <x:c r="I18" s="37"/>
      <x:c r="J18" s="37"/>
    </x:row>
    <x:row r="19" ht="28" customHeight="1">
      <x:c r="A19" s="18" t="str">
        <x:v>Когорта</x:v>
      </x:c>
      <x:c r="B19" s="18" t="str">
        <x:v>Выручка на клиента</x:v>
      </x:c>
      <x:c r="C19" s="18" t="str">
        <x:v>Валовая маржа</x:v>
      </x:c>
      <x:c r="D19" s="18" t="str">
        <x:v>LTV</x:v>
      </x:c>
      <x:c r="E19" s="18" t="str">
        <x:v>CAC</x:v>
      </x:c>
      <x:c r="F19" s="18" t="str">
        <x:v>LTV / CAC</x:v>
      </x:c>
      <x:c r="G19" s="18" t="str">
        <x:v>Окупаемость CAC</x:v>
      </x:c>
      <x:c r="H19" s="18" t="str">
        <x:v>Уникальные клиенты</x:v>
      </x:c>
      <x:c r="I19" s="18" t="str">
        <x:v>Выручка года 1</x:v>
      </x:c>
      <x:c r="J19" s="18" t="str">
        <x:v>Расшифровка</x:v>
      </x:c>
    </x:row>
    <x:row r="20" ht="46" customHeight="1">
      <x:c r="A20" s="22" t="str">
        <x:v>Группа клиентов</x:v>
      </x:c>
      <x:c r="B20" s="22" t="str">
        <x:v>Вся выручка когорты на клиента</x:v>
      </x:c>
      <x:c r="C20" s="22" t="str">
        <x:v>Доля после прямых затрат</x:v>
      </x:c>
      <x:c r="D20" s="22" t="str">
        <x:v>Валовая прибыль на клиента</x:v>
      </x:c>
      <x:c r="E20" s="22" t="str">
        <x:v>Стоимость первого привлечения</x:v>
      </x:c>
      <x:c r="F20" s="22" t="str">
        <x:v>Валовая прибыль на рубль CAC</x:v>
      </x:c>
      <x:c r="G20" s="22" t="str">
        <x:v>Месяц возврата CAC</x:v>
      </x:c>
      <x:c r="H20" s="22" t="str">
        <x:v>Целое число клиентов</x:v>
      </x:c>
      <x:c r="I20" s="22" t="str">
        <x:v>Выручка когорты</x:v>
      </x:c>
      <x:c r="J20" s="22" t="str">
        <x:v>Что входит в LTV</x:v>
      </x:c>
    </x:row>
    <x:row r="21">
      <x:c r="A21" s="26" t="str">
        <x:v>Light + допуслуги</x:v>
      </x:c>
      <x:c r="B21" s="42" t="n">
        <x:f>I21/H21</x:f>
        <x:v>8932.637822379918</x:v>
      </x:c>
      <x:c r="C21" s="40" t="n">
        <x:f>D21/B21</x:f>
        <x:v>0.8166184971098267</x:v>
      </x:c>
      <x:c r="D21" s="42" t="n">
        <x:f>(Revenue!C71*(1-Assumptions!$C$21)+Revenue!E71*Revenue!C71/(Revenue!C71+Revenue!D71)*(1-Assumptions!$C$22)+(Revenue!F71*(1-Assumptions!$C$23)+Revenue!G71*(1-Assumptions!$C$21))*30%)/H21</x:f>
        <x:v>7294.557273738284</x:v>
      </x:c>
      <x:c r="E21" s="42" t="n">
        <x:f>Assumptions!B87</x:f>
        <x:v>2300</x:v>
      </x:c>
      <x:c r="F21" s="89" t="n">
        <x:f>D21/E21</x:f>
        <x:v>3.1715466407557753</x:v>
      </x:c>
      <x:c r="G21" s="92" t="n">
        <x:f>E21/(D21/Assumptions!$C$14)</x:f>
        <x:v>1.891821461143705</x:v>
      </x:c>
      <x:c r="H21" s="95" t="n">
        <x:f>ROUNDUP(Revenue!C71/(Assumptions!$C$7*Assumptions!$C$14),0)</x:f>
        <x:v>1642</x:v>
      </x:c>
      <x:c r="I21" s="42" t="n">
        <x:f>Revenue!C71+Revenue!E71*Revenue!C71/(Revenue!C71+Revenue!D71)+(Revenue!F71+Revenue!G71)*30%</x:f>
        <x:v>14667391.304347826</x:v>
      </x:c>
      <x:c r="J21" s="26" t="str">
        <x:v>Light 6 месяцев + AI + доля консультаций и маршрутов</x:v>
      </x:c>
    </x:row>
    <x:row r="22">
      <x:c r="A22" s="26" t="str">
        <x:v>С экспертом + допуслуги</x:v>
      </x:c>
      <x:c r="B22" s="42" t="n">
        <x:f>I22/H22</x:f>
        <x:v>75281.10944527735</x:v>
      </x:c>
      <x:c r="C22" s="40" t="n">
        <x:f>D22/B22</x:f>
        <x:v>0.5934466019417477</x:v>
      </x:c>
      <x:c r="D22" s="42" t="n">
        <x:f>(Revenue!D71*(1-Assumptions!$C$23)+Revenue!E71*Revenue!D71/(Revenue!C71+Revenue!D71)*(1-Assumptions!$C$22)+(Revenue!F71*(1-Assumptions!$C$23)+Revenue!G71*(1-Assumptions!$C$21))*30%)/H22</x:f>
        <x:v>44675.31859070465</x:v>
      </x:c>
      <x:c r="E22" s="42" t="n">
        <x:f>Assumptions!B88</x:f>
        <x:v>8800</x:v>
      </x:c>
      <x:c r="F22" s="89" t="n">
        <x:f>D22/E22</x:f>
        <x:v>5.076740748943711</x:v>
      </x:c>
      <x:c r="G22" s="92" t="n">
        <x:f>E22/(D22/Assumptions!$C$43)</x:f>
        <x:v>0.5909303130407425</x:v>
      </x:c>
      <x:c r="H22" s="95" t="n">
        <x:f>ROUNDUP(Revenue!D71/(Assumptions!$C$8*Assumptions!$C$43),0)</x:f>
        <x:v>116</x:v>
      </x:c>
      <x:c r="I22" s="42" t="n">
        <x:f>Revenue!D71+Revenue!E71*Revenue!D71/(Revenue!C71+Revenue!D71)+(Revenue!F71+Revenue!G71)*30%</x:f>
        <x:v>8732608.695652174</x:v>
      </x:c>
      <x:c r="J22" s="26" t="str">
        <x:v>Тариф с экспертом 3 месяца + AI + доля консультаций и маршрутов</x:v>
      </x:c>
    </x:row>
    <x:row r="23">
      <x:c r="A23" s="26" t="str">
        <x:v>Покупки без тарифа</x:v>
      </x:c>
      <x:c r="B23" s="42" t="n">
        <x:f>I23/H23</x:f>
        <x:v>4896.421845574388</x:v>
      </x:c>
      <x:c r="C23" s="40" t="n">
        <x:f>D23/B23</x:f>
        <x:v>0.675</x:v>
      </x:c>
      <x:c r="D23" s="42" t="n">
        <x:f>(Revenue!F71*(1-Assumptions!$C$23)+Revenue!G71*(1-Assumptions!$C$21))*40%/H23</x:f>
        <x:v>3305.084745762712</x:v>
      </x:c>
      <x:c r="E23" s="42" t="n">
        <x:f>Assumptions!B89</x:f>
        <x:v>1400</x:v>
      </x:c>
      <x:c r="F23" s="89" t="n">
        <x:f>D23/E23</x:f>
        <x:v>2.360774818401937</x:v>
      </x:c>
      <x:c r="G23" s="92" t="n">
        <x:f>IF(D23&gt;=E23,1,"не окупается")</x:f>
        <x:v>1</x:v>
      </x:c>
      <x:c r="H23" s="95" t="n">
        <x:f>ROUNDUP((Revenue!F71+Revenue!G71)*40%/Assumptions!$C$9,0)</x:f>
        <x:v>531</x:v>
      </x:c>
      <x:c r="I23" s="42" t="n">
        <x:f>(Revenue!F71+Revenue!G71)*40%</x:f>
        <x:v>2600000</x:v>
      </x:c>
      <x:c r="J23" s="26" t="str">
        <x:v>Консультации и маршруты без подписки</x:v>
      </x:c>
    </x:row>
    <x:row r="24">
      <x:c r="A24" s="26" t="str">
        <x:v>Сопровождение + дорожная карта</x:v>
      </x:c>
      <x:c r="B24" s="42" t="n">
        <x:f>I24/H24</x:f>
        <x:v>966216.2162162162</x:v>
      </x:c>
      <x:c r="C24" s="40" t="n">
        <x:f>D24/B24</x:f>
        <x:v>0.65</x:v>
      </x:c>
      <x:c r="D24" s="42" t="n">
        <x:f>(Revenue!H71*(1-Assumptions!$C$24)+Revenue!I71*(1-Assumptions!$C$25))/H24</x:f>
        <x:v>628040.5405405406</x:v>
      </x:c>
      <x:c r="E24" s="42" t="n">
        <x:f>Assumptions!B90</x:f>
        <x:v>35000</x:v>
      </x:c>
      <x:c r="F24" s="89" t="n">
        <x:f>D24/E24</x:f>
        <x:v>17.944015444015445</x:v>
      </x:c>
      <x:c r="G24" s="92" t="n">
        <x:f>E24/(D24/Assumptions!$C$15)</x:f>
        <x:v>0.5572888649811726</x:v>
      </x:c>
      <x:c r="H24" s="95" t="n">
        <x:f>ROUNDUP(Revenue!I71/(Assumptions!$C$12*Assumptions!$C$13),0)</x:f>
        <x:v>37</x:v>
      </x:c>
      <x:c r="I24" s="42" t="n">
        <x:f>Revenue!H71+Revenue!I71</x:f>
        <x:v>35750000</x:v>
      </x:c>
      <x:c r="J24" s="26" t="str">
        <x:v>Сопровождение ремонта вместе с индивидуальной дорожной картой</x:v>
      </x:c>
    </x:row>
    <x:row r="25">
      <x:c r="A25" s="48"/>
      <x:c r="B25" s="48"/>
      <x:c r="C25" s="48"/>
      <x:c r="D25" s="48"/>
      <x:c r="E25" s="48"/>
      <x:c r="F25" s="48"/>
      <x:c r="G25" s="48"/>
      <x:c r="H25" s="48"/>
      <x:c r="I25" s="48"/>
      <x:c r="J25" s="48"/>
    </x:row>
    <x:row r="26">
      <x:c r="A26" s="48"/>
      <x:c r="B26" s="48"/>
      <x:c r="C26" s="48"/>
      <x:c r="D26" s="48"/>
      <x:c r="E26" s="48"/>
      <x:c r="F26" s="48"/>
      <x:c r="G26" s="48"/>
      <x:c r="H26" s="48"/>
      <x:c r="I26" s="48"/>
      <x:c r="J26" s="48"/>
    </x:row>
    <x:row r="27" ht="24" customHeight="1">
      <x:c r="A27" s="37" t="str">
        <x:v>Две большие когорты</x:v>
      </x:c>
      <x:c r="B27" s="37"/>
      <x:c r="C27" s="37"/>
      <x:c r="D27" s="37"/>
      <x:c r="E27" s="37"/>
      <x:c r="F27" s="37"/>
      <x:c r="G27" s="37"/>
      <x:c r="H27" s="37"/>
      <x:c r="I27" s="37"/>
      <x:c r="J27" s="37"/>
    </x:row>
    <x:row r="28" ht="28" customHeight="1">
      <x:c r="A28" s="18" t="str">
        <x:v>Большая когорта</x:v>
      </x:c>
      <x:c r="B28" s="18" t="str">
        <x:v>Выручка на клиента</x:v>
      </x:c>
      <x:c r="C28" s="18" t="str">
        <x:v>Валовая маржа</x:v>
      </x:c>
      <x:c r="D28" s="18" t="str">
        <x:v>LTV</x:v>
      </x:c>
      <x:c r="E28" s="18" t="str">
        <x:v>CAC</x:v>
      </x:c>
      <x:c r="F28" s="18" t="str">
        <x:v>LTV / CAC</x:v>
      </x:c>
      <x:c r="G28" s="18" t="str">
        <x:v>Окупаемость CAC</x:v>
      </x:c>
      <x:c r="H28" s="18" t="str">
        <x:v>Уникальные клиенты</x:v>
      </x:c>
      <x:c r="I28" s="18" t="str">
        <x:v>Выручка года 1</x:v>
      </x:c>
      <x:c r="J28" s="18" t="str">
        <x:v>Состав</x:v>
      </x:c>
    </x:row>
    <x:row r="29">
      <x:c r="A29" s="82" t="str">
        <x:v>Самостоятельный ремонт</x:v>
      </x:c>
      <x:c r="B29" s="85" t="n">
        <x:f>I29/H29</x:f>
        <x:v>11358.671909130624</x:v>
      </x:c>
      <x:c r="C29" s="87" t="n">
        <x:f>D29/B29</x:f>
        <x:v>0.7274999999999999</x:v>
      </x:c>
      <x:c r="D29" s="85" t="n">
        <x:f>SUMPRODUCT(D21:D23,H21:H23)/H29</x:f>
        <x:v>8263.433813892529</x:v>
      </x:c>
      <x:c r="E29" s="85" t="n">
        <x:f>SUMPRODUCT(E21:E23,H21:H23)/H29</x:f>
        <x:v>2420.620358235037</x:v>
      </x:c>
      <x:c r="F29" s="90" t="n">
        <x:f>D29/E29</x:f>
        <x:v>3.413766965059197</x:v>
      </x:c>
      <x:c r="G29" s="93" t="n">
        <x:f>SUMPRODUCT(E21:E23,H21:H23)/(D21*H21/Assumptions!$C$14+D22*H22/Assumptions!$C$43+D23*H23)</x:f>
        <x:v>1.0113305921623672</x:v>
      </x:c>
      <x:c r="H29" s="96" t="n">
        <x:f>SUM(H21:H23)</x:f>
        <x:v>2289</x:v>
      </x:c>
      <x:c r="I29" s="85" t="n">
        <x:f>SUM(I21:I23)</x:f>
        <x:v>26000000</x:v>
      </x:c>
      <x:c r="J29" s="82" t="str">
        <x:v>Light, тариф с экспертом, AI, консультации, документы и типовой маршрут; без дорожной карты</x:v>
      </x:c>
    </x:row>
    <x:row r="30">
      <x:c r="A30" s="82" t="str">
        <x:v>Сопровождение ремонта</x:v>
      </x:c>
      <x:c r="B30" s="85" t="n">
        <x:f>B24</x:f>
        <x:v>966216.2162162162</x:v>
      </x:c>
      <x:c r="C30" s="87" t="n">
        <x:f>C24</x:f>
        <x:v>0.65</x:v>
      </x:c>
      <x:c r="D30" s="85" t="n">
        <x:f>D24</x:f>
        <x:v>628040.5405405406</x:v>
      </x:c>
      <x:c r="E30" s="85" t="n">
        <x:f>E24</x:f>
        <x:v>35000</x:v>
      </x:c>
      <x:c r="F30" s="90" t="n">
        <x:f>F24</x:f>
        <x:v>17.944015444015445</x:v>
      </x:c>
      <x:c r="G30" s="93" t="n">
        <x:f>G24</x:f>
        <x:v>0.5572888649811726</x:v>
      </x:c>
      <x:c r="H30" s="96" t="n">
        <x:f>H24</x:f>
        <x:v>37</x:v>
      </x:c>
      <x:c r="I30" s="85" t="n">
        <x:f>I24</x:f>
        <x:v>35750000</x:v>
      </x:c>
      <x:c r="J30" s="82" t="str">
        <x:v>Управление ремонтом руководителем проекта вместе с индивидуальной дорожной картой</x:v>
      </x:c>
    </x:row>
    <x:row r="31">
      <x:c r="A31" s="26"/>
      <x:c r="B31" s="42"/>
      <x:c r="C31" s="40"/>
      <x:c r="D31" s="42"/>
      <x:c r="E31" s="42"/>
      <x:c r="F31" s="89"/>
      <x:c r="G31" s="92"/>
      <x:c r="H31" s="95"/>
      <x:c r="I31" s="42"/>
      <x:c r="J31" s="26"/>
    </x:row>
    <x:row r="32">
      <x:c r="A32" s="84" t="str">
        <x:v>Итого / среднее</x:v>
      </x:c>
      <x:c r="B32" s="86" t="n">
        <x:f>I32/H32</x:f>
        <x:v>26547.721410146172</x:v>
      </x:c>
      <x:c r="C32" s="88" t="n">
        <x:f>D32/B32</x:f>
        <x:v>0.6826315789473685</x:v>
      </x:c>
      <x:c r="D32" s="86" t="n">
        <x:f>SUMPRODUCT(D29:D30,H29:H30)/H32</x:f>
        <x:v>18122.31298366294</x:v>
      </x:c>
      <x:c r="E32" s="86" t="n">
        <x:f>SUMPRODUCT(E29:E30,H29:H30)/H32</x:f>
        <x:v>2938.8650042992263</x:v>
      </x:c>
      <x:c r="F32" s="91" t="n">
        <x:f>D32/E32</x:f>
        <x:v>6.166432604815823</x:v>
      </x:c>
      <x:c r="G32" s="94" t="n">
        <x:f>SUMPRODUCT(E21:E24,H21:H24)/(D21*H21/Assumptions!$C$14+D22*H22/Assumptions!$C$43+D23*H23+D24*H24/Assumptions!$C$15)</x:f>
        <x:v>0.8761068641142893</x:v>
      </x:c>
      <x:c r="H32" s="97" t="n">
        <x:f>SUM(H29:H30)</x:f>
        <x:v>2326</x:v>
      </x:c>
      <x:c r="I32" s="86" t="n">
        <x:f>SUM(I29:I30)</x:f>
        <x:v>61750000</x:v>
      </x:c>
      <x:c r="J32" s="84" t="str">
        <x:v>CAC начислен один раз на уникального клиента; допродажи увеличивают LTV</x:v>
      </x:c>
    </x:row>
    <x:row r="33">
      <x:c r="A33" s="48"/>
      <x:c r="B33" s="48"/>
      <x:c r="C33" s="48"/>
      <x:c r="D33" s="48"/>
      <x:c r="E33" s="48"/>
      <x:c r="F33" s="48"/>
      <x:c r="G33" s="48"/>
      <x:c r="H33" s="48"/>
      <x:c r="I33" s="48"/>
      <x:c r="J33" s="48"/>
    </x:row>
    <x:row r="34">
      <x:c r="A34" s="48"/>
      <x:c r="B34" s="48"/>
      <x:c r="C34" s="48"/>
      <x:c r="D34" s="48"/>
      <x:c r="E34" s="48"/>
      <x:c r="F34" s="48"/>
      <x:c r="G34" s="48"/>
      <x:c r="H34" s="48"/>
      <x:c r="I34" s="48"/>
      <x:c r="J34" s="48"/>
    </x:row>
    <x:row r="35" ht="24" customHeight="1">
      <x:c r="A35" s="37" t="str">
        <x:v>Динамика двух направлений</x:v>
      </x:c>
      <x:c r="B35" s="37"/>
      <x:c r="C35" s="37"/>
      <x:c r="D35" s="37"/>
      <x:c r="E35" s="37"/>
      <x:c r="F35" s="37"/>
      <x:c r="G35" s="37"/>
      <x:c r="H35" s="48"/>
      <x:c r="I35" s="48"/>
      <x:c r="J35" s="48"/>
    </x:row>
    <x:row r="36" ht="28" customHeight="1">
      <x:c r="A36" s="18" t="str">
        <x:v>Год</x:v>
      </x:c>
      <x:c r="B36" s="18" t="str">
        <x:v>Самостоятельный ремонт</x:v>
      </x:c>
      <x:c r="C36" s="18" t="str">
        <x:v>Сопровождение + карта</x:v>
      </x:c>
      <x:c r="D36" s="18" t="str">
        <x:v>Выручка Light + AI</x:v>
      </x:c>
      <x:c r="E36" s="18" t="str">
        <x:v>Выручка эксперта + услуги</x:v>
      </x:c>
      <x:c r="F36" s="18" t="str">
        <x:v>Выручка сопровождения + карты</x:v>
      </x:c>
      <x:c r="G36" s="18" t="str">
        <x:v>Расшифровка</x:v>
      </x:c>
      <x:c r="H36" s="48"/>
      <x:c r="I36" s="48"/>
      <x:c r="J36" s="48"/>
    </x:row>
    <x:row r="37" ht="46" customHeight="1">
      <x:c r="A37" s="22" t="str">
        <x:v>Период</x:v>
      </x:c>
      <x:c r="B37" s="22" t="str">
        <x:v>Доля продуктового self-сервиса</x:v>
      </x:c>
      <x:c r="C37" s="22" t="str">
        <x:v>Доля сопровождения вместе с дорожной картой</x:v>
      </x:c>
      <x:c r="D37" s="22" t="str">
        <x:v>Динамика когорты</x:v>
      </x:c>
      <x:c r="E37" s="22" t="str">
        <x:v>Динамика когорты</x:v>
      </x:c>
      <x:c r="F37" s="22" t="str">
        <x:v>Динамика когорты</x:v>
      </x:c>
      <x:c r="G37" s="22" t="str">
        <x:v>Целевой сдвиг к IT-модели</x:v>
      </x:c>
      <x:c r="H37" s="48"/>
      <x:c r="I37" s="48"/>
      <x:c r="J37" s="48"/>
    </x:row>
    <x:row r="38">
      <x:c r="A38" s="26" t="str">
        <x:v>Год 1</x:v>
      </x:c>
      <x:c r="B38" s="40" t="n">
        <x:f>SUM(Revenue!C71:G71)/Revenue!B71</x:f>
        <x:v>0.4</x:v>
      </x:c>
      <x:c r="C38" s="40" t="n">
        <x:f>SUM(Revenue!H71:I71)/Revenue!B71</x:f>
        <x:v>0.55</x:v>
      </x:c>
      <x:c r="D38" s="42" t="n">
        <x:f>Revenue!C71+Revenue!E71*Revenue!C71/(Revenue!C71+Revenue!D71)</x:f>
        <x:v>12717391.304347826</x:v>
      </x:c>
      <x:c r="E38" s="42" t="n">
        <x:f>Revenue!D71+Revenue!F71+Revenue!G71+Revenue!E71*Revenue!D71/(Revenue!C71+Revenue!D71)</x:f>
        <x:v>13282608.695652174</x:v>
      </x:c>
      <x:c r="F38" s="42" t="n">
        <x:f>Revenue!H71+Revenue!I71</x:f>
        <x:v>35750000</x:v>
      </x:c>
      <x:c r="G38" s="26" t="str">
        <x:v>Стартовый микс</x:v>
      </x:c>
      <x:c r="H38" s="48"/>
      <x:c r="I38" s="48"/>
      <x:c r="J38" s="48"/>
    </x:row>
    <x:row r="39">
      <x:c r="A39" s="26" t="str">
        <x:v>Год 2</x:v>
      </x:c>
      <x:c r="B39" s="40" t="n">
        <x:f>SUM(Revenue!C72:G72)/Revenue!B72</x:f>
        <x:v>0.5</x:v>
      </x:c>
      <x:c r="C39" s="40" t="n">
        <x:f>SUM(Revenue!H72:I72)/Revenue!B72</x:f>
        <x:v>0.4499999999999999</x:v>
      </x:c>
      <x:c r="D39" s="42" t="n">
        <x:f>Revenue!C72+Revenue!E72*Revenue!C72/(Revenue!C72+Revenue!D72)</x:f>
        <x:v>26124999.99999175</x:v>
      </x:c>
      <x:c r="E39" s="42" t="n">
        <x:f>Revenue!D72+Revenue!F72+Revenue!G72+Revenue!E72*Revenue!D72/(Revenue!C72+Revenue!D72)</x:f>
        <x:v>21374999.999993257</x:v>
      </x:c>
      <x:c r="F39" s="42" t="n">
        <x:f>Revenue!H72+Revenue!I72</x:f>
        <x:v>42749999.9999865</x:v>
      </x:c>
      <x:c r="G39" s="26" t="str">
        <x:v>Рост доли самостоятельного цифрового ремонта</x:v>
      </x:c>
      <x:c r="H39" s="48"/>
      <x:c r="I39" s="48"/>
      <x:c r="J39" s="48"/>
    </x:row>
    <x:row r="40">
      <x:c r="A40" s="26" t="str">
        <x:v>Год 3</x:v>
      </x:c>
      <x:c r="B40" s="40" t="n">
        <x:f>SUM(Revenue!C73:G73)/Revenue!B73</x:f>
        <x:v>0.65</x:v>
      </x:c>
      <x:c r="C40" s="40" t="n">
        <x:f>SUM(Revenue!H73:I73)/Revenue!B73</x:f>
        <x:v>0.3</x:v>
      </x:c>
      <x:c r="D40" s="42" t="n">
        <x:f>Revenue!C73+Revenue!E73*Revenue!C73/(Revenue!C73+Revenue!D73)</x:f>
        <x:v>54981818.18178904</x:v>
      </x:c>
      <x:c r="E40" s="42" t="n">
        <x:f>Revenue!D73+Revenue!F73+Revenue!G73+Revenue!E73*Revenue!D73/(Revenue!C73+Revenue!D73)</x:f>
        <x:v>36018181.81816273</x:v>
      </x:c>
      <x:c r="F40" s="42" t="n">
        <x:f>Revenue!H73+Revenue!I73</x:f>
        <x:v>41999999.99997774</x:v>
      </x:c>
      <x:c r="G40" s="26" t="str">
        <x:v>Рост доли самостоятельного цифрового ремонта</x:v>
      </x:c>
      <x:c r="H40" s="48"/>
      <x:c r="I40" s="48"/>
      <x:c r="J40" s="48"/>
    </x:row>
    <x:row r="41">
      <x:c r="A41" s="26" t="str">
        <x:v>Год 4</x:v>
      </x:c>
      <x:c r="B41" s="40" t="n">
        <x:f>SUM(Revenue!C74:G74)/Revenue!B74</x:f>
        <x:v>0.7899999999999999</x:v>
      </x:c>
      <x:c r="C41" s="40" t="n">
        <x:f>SUM(Revenue!H74:I74)/Revenue!B74</x:f>
        <x:v>0.16</x:v>
      </x:c>
      <x:c r="D41" s="42" t="n">
        <x:f>Revenue!C74+Revenue!E74*Revenue!C74/(Revenue!C74+Revenue!D74)</x:f>
        <x:v>112199999.99997115</x:v>
      </x:c>
      <x:c r="E41" s="42" t="n">
        <x:f>Revenue!D74+Revenue!F74+Revenue!G74+Revenue!E74*Revenue!D74/(Revenue!C74+Revenue!D74)</x:f>
        <x:v>61599999.99998415</x:v>
      </x:c>
      <x:c r="F41" s="42" t="n">
        <x:f>Revenue!H74+Revenue!I74</x:f>
        <x:v>35199999.99999095</x:v>
      </x:c>
      <x:c r="G41" s="26" t="str">
        <x:v>Рост доли самостоятельного цифрового ремонта</x:v>
      </x:c>
      <x:c r="H41" s="48"/>
      <x:c r="I41" s="48"/>
      <x:c r="J41" s="48"/>
    </x:row>
    <x:row r="42">
      <x:c r="A42" s="26" t="str">
        <x:v>Год 5</x:v>
      </x:c>
      <x:c r="B42" s="40" t="n">
        <x:f>SUM(Revenue!C75:G75)/Revenue!B75</x:f>
        <x:v>0.8999999999999999</x:v>
      </x:c>
      <x:c r="C42" s="40" t="n">
        <x:f>SUM(Revenue!H75:I75)/Revenue!B75</x:f>
        <x:v>0.06999999999999999</x:v>
      </x:c>
      <x:c r="D42" s="42" t="n">
        <x:f>Revenue!C75+Revenue!E75*Revenue!C75/(Revenue!C75+Revenue!D75)</x:f>
        <x:v>224764179.10448185</x:v>
      </x:c>
      <x:c r="E42" s="42" t="n">
        <x:f>Revenue!D75+Revenue!F75+Revenue!G75+Revenue!E75*Revenue!D75/(Revenue!C75+Revenue!D75)</x:f>
        <x:v>101035820.8955243</x:v>
      </x:c>
      <x:c r="F42" s="42" t="n">
        <x:f>Revenue!H75+Revenue!I75</x:f>
        <x:v>25340000.000000477</x:v>
      </x:c>
      <x:c r="G42" s="26" t="str">
        <x:v>Рост доли самостоятельного цифрового ремонта</x:v>
      </x:c>
      <x:c r="H42" s="48"/>
      <x:c r="I42" s="48"/>
      <x:c r="J42" s="48"/>
    </x:row>
  </x:sheetData>
  <x:mergeCells>
    <x:mergeCell ref="A1:J1"/>
    <x:mergeCell ref="A2:J2"/>
    <x:mergeCell ref="A18:J18"/>
    <x:mergeCell ref="A27:J27"/>
    <x:mergeCell ref="A35:G35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8" max="8" width="3" hidden="0" customWidth="1"/>
    <x:col min="1" max="1" width="31" hidden="0" customWidth="1"/>
    <x:col min="2" max="2" width="54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  <x:col min="18" max="18" width="13" hidden="0" customWidth="1"/>
    <x:col min="19" max="19" width="13" hidden="0" customWidth="1"/>
    <x:col min="20" max="20" width="13" hidden="0" customWidth="1"/>
    <x:col min="21" max="21" width="13" hidden="0" customWidth="1"/>
    <x:col min="22" max="22" width="13" hidden="0" customWidth="1"/>
    <x:col min="23" max="23" width="13" hidden="0" customWidth="1"/>
    <x:col min="24" max="24" width="13" hidden="0" customWidth="1"/>
    <x:col min="25" max="25" width="13" hidden="0" customWidth="1"/>
    <x:col min="26" max="26" width="13" hidden="0" customWidth="1"/>
    <x:col min="27" max="27" width="13" hidden="0" customWidth="1"/>
    <x:col min="28" max="28" width="13" hidden="0" customWidth="1"/>
    <x:col min="29" max="29" width="13" hidden="0" customWidth="1"/>
    <x:col min="30" max="30" width="13" hidden="0" customWidth="1"/>
    <x:col min="31" max="31" width="13" hidden="0" customWidth="1"/>
    <x:col min="32" max="32" width="13" hidden="0" customWidth="1"/>
    <x:col min="33" max="33" width="13" hidden="0" customWidth="1"/>
    <x:col min="34" max="34" width="13" hidden="0" customWidth="1"/>
    <x:col min="35" max="35" width="13" hidden="0" customWidth="1"/>
    <x:col min="36" max="36" width="13" hidden="0" customWidth="1"/>
    <x:col min="37" max="37" width="13" hidden="0" customWidth="1"/>
    <x:col min="38" max="38" width="13" hidden="0" customWidth="1"/>
    <x:col min="39" max="39" width="13" hidden="0" customWidth="1"/>
    <x:col min="40" max="40" width="13" hidden="0" customWidth="1"/>
    <x:col min="41" max="41" width="13" hidden="0" customWidth="1"/>
    <x:col min="42" max="42" width="13" hidden="0" customWidth="1"/>
    <x:col min="43" max="43" width="13" hidden="0" customWidth="1"/>
    <x:col min="44" max="44" width="13" hidden="0" customWidth="1"/>
    <x:col min="45" max="45" width="13" hidden="0" customWidth="1"/>
    <x:col min="46" max="46" width="13" hidden="0" customWidth="1"/>
    <x:col min="47" max="47" width="13" hidden="0" customWidth="1"/>
    <x:col min="48" max="48" width="13" hidden="0" customWidth="1"/>
    <x:col min="49" max="49" width="13" hidden="0" customWidth="1"/>
    <x:col min="50" max="50" width="13" hidden="0" customWidth="1"/>
    <x:col min="51" max="51" width="13" hidden="0" customWidth="1"/>
    <x:col min="52" max="52" width="13" hidden="0" customWidth="1"/>
    <x:col min="53" max="53" width="13" hidden="0" customWidth="1"/>
    <x:col min="54" max="54" width="13" hidden="0" customWidth="1"/>
    <x:col min="55" max="55" width="13" hidden="0" customWidth="1"/>
    <x:col min="56" max="56" width="13" hidden="0" customWidth="1"/>
    <x:col min="57" max="57" width="13" hidden="0" customWidth="1"/>
    <x:col min="58" max="58" width="13" hidden="0" customWidth="1"/>
    <x:col min="59" max="59" width="13" hidden="0" customWidth="1"/>
    <x:col min="60" max="60" width="13" hidden="0" customWidth="1"/>
    <x:col min="61" max="61" width="13" hidden="0" customWidth="1"/>
    <x:col min="62" max="62" width="13" hidden="0" customWidth="1"/>
    <x:col min="63" max="63" width="13" hidden="0" customWidth="1"/>
    <x:col min="64" max="64" width="13" hidden="0" customWidth="1"/>
    <x:col min="65" max="65" width="13" hidden="0" customWidth="1"/>
    <x:col min="66" max="66" width="13" hidden="0" customWidth="1"/>
    <x:col min="67" max="67" width="13" hidden="0" customWidth="1"/>
    <x:col min="68" max="68" width="13" hidden="0" customWidth="1"/>
  </x:cols>
  <x:sheetData>
    <x:row r="1" ht="32" customHeight="1">
      <x:c r="A1" s="45" t="str">
        <x:v>Отчёт о прибылях и убытках и денежный поток — 5 лет</x:v>
      </x:c>
      <x:c r="B1" s="45"/>
      <x:c r="C1" s="45"/>
      <x:c r="D1" s="45"/>
      <x:c r="E1" s="45"/>
      <x:c r="F1" s="45"/>
      <x:c r="G1" s="45"/>
      <x:c r="H1" s="45"/>
      <x:c r="I1" s="45"/>
      <x:c r="J1" s="45"/>
      <x:c r="K1" s="45"/>
      <x:c r="L1" s="45"/>
      <x:c r="M1" s="45"/>
      <x:c r="N1" s="45"/>
      <x:c r="O1" s="45"/>
      <x:c r="P1" s="45"/>
      <x:c r="Q1" s="45"/>
      <x:c r="R1" s="45"/>
      <x:c r="S1" s="45"/>
      <x:c r="T1" s="45"/>
      <x:c r="U1" s="45"/>
      <x:c r="V1" s="45"/>
      <x:c r="W1" s="45"/>
      <x:c r="X1" s="45"/>
      <x:c r="Y1" s="45"/>
      <x:c r="Z1" s="45"/>
      <x:c r="AA1" s="45"/>
      <x:c r="AB1" s="45"/>
      <x:c r="AC1" s="45"/>
      <x:c r="AD1" s="45"/>
      <x:c r="AE1" s="45"/>
      <x:c r="AF1" s="45"/>
      <x:c r="AG1" s="45"/>
      <x:c r="AH1" s="45"/>
      <x:c r="AI1" s="45"/>
      <x:c r="AJ1" s="45"/>
      <x:c r="AK1" s="45"/>
      <x:c r="AL1" s="45"/>
      <x:c r="AM1" s="45"/>
      <x:c r="AN1" s="45"/>
      <x:c r="AO1" s="45"/>
      <x:c r="AP1" s="45"/>
      <x:c r="AQ1" s="45"/>
      <x:c r="AR1" s="45"/>
      <x:c r="AS1" s="45"/>
      <x:c r="AT1" s="45"/>
      <x:c r="AU1" s="45"/>
      <x:c r="AV1" s="45"/>
      <x:c r="AW1" s="45"/>
      <x:c r="AX1" s="45"/>
      <x:c r="AY1" s="45"/>
      <x:c r="AZ1" s="45"/>
      <x:c r="BA1" s="45"/>
      <x:c r="BB1" s="45"/>
      <x:c r="BC1" s="45"/>
      <x:c r="BD1" s="45"/>
      <x:c r="BE1" s="45"/>
      <x:c r="BF1" s="45"/>
      <x:c r="BG1" s="45"/>
      <x:c r="BH1" s="45"/>
      <x:c r="BI1" s="45"/>
      <x:c r="BJ1" s="45"/>
      <x:c r="BK1" s="45"/>
      <x:c r="BL1" s="45"/>
      <x:c r="BM1" s="45"/>
      <x:c r="BN1" s="45"/>
      <x:c r="BO1" s="45"/>
      <x:c r="BP1" s="45"/>
    </x:row>
    <x:row r="2" ht="34" customHeight="1">
      <x:c r="A2" s="7" t="str">
        <x:v>Статьи доходов и расходов расположены строками, периоды — столбцами. Сначала показаны итоги по годам, затем 60 месяцев слева направо. Расходы показаны отрицательными числами в скобках.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  <x:c r="V2" s="7"/>
      <x:c r="W2" s="7"/>
      <x:c r="X2" s="7"/>
      <x:c r="Y2" s="7"/>
      <x:c r="Z2" s="7"/>
      <x:c r="AA2" s="7"/>
      <x:c r="AB2" s="7"/>
      <x:c r="AC2" s="7"/>
      <x:c r="AD2" s="7"/>
      <x:c r="AE2" s="7"/>
      <x:c r="AF2" s="7"/>
      <x:c r="AG2" s="7"/>
      <x:c r="AH2" s="7"/>
      <x:c r="AI2" s="7"/>
      <x:c r="AJ2" s="7"/>
      <x:c r="AK2" s="7"/>
      <x:c r="AL2" s="7"/>
      <x:c r="AM2" s="7"/>
      <x:c r="AN2" s="7"/>
      <x:c r="AO2" s="7"/>
      <x:c r="AP2" s="7"/>
      <x:c r="AQ2" s="7"/>
      <x:c r="AR2" s="7"/>
      <x:c r="AS2" s="7"/>
      <x:c r="AT2" s="7"/>
      <x:c r="AU2" s="7"/>
      <x:c r="AV2" s="7"/>
      <x:c r="AW2" s="7"/>
      <x:c r="AX2" s="7"/>
      <x:c r="AY2" s="7"/>
      <x:c r="AZ2" s="7"/>
      <x:c r="BA2" s="7"/>
      <x:c r="BB2" s="7"/>
      <x:c r="BC2" s="7"/>
      <x:c r="BD2" s="7"/>
      <x:c r="BE2" s="7"/>
      <x:c r="BF2" s="7"/>
      <x:c r="BG2" s="7"/>
      <x:c r="BH2" s="7"/>
      <x:c r="BI2" s="7"/>
      <x:c r="BJ2" s="7"/>
      <x:c r="BK2" s="7"/>
      <x:c r="BL2" s="7"/>
      <x:c r="BM2" s="7"/>
      <x:c r="BN2" s="7"/>
      <x:c r="BO2" s="7"/>
      <x:c r="BP2" s="7"/>
    </x:row>
    <x:row r="3">
      <x:c r="A3" s="48"/>
      <x:c r="B3" s="48"/>
      <x:c r="C3" s="48"/>
      <x:c r="D3" s="48"/>
      <x:c r="E3" s="48"/>
      <x:c r="F3" s="48"/>
      <x:c r="G3" s="48"/>
      <x:c r="H3" s="48"/>
      <x:c r="I3" s="48"/>
      <x:c r="J3" s="48"/>
      <x:c r="K3" s="48"/>
      <x:c r="L3" s="48"/>
      <x:c r="M3" s="48"/>
      <x:c r="N3" s="48"/>
      <x:c r="O3" s="48"/>
      <x:c r="P3" s="48"/>
      <x:c r="Q3" s="48"/>
      <x:c r="R3" s="48"/>
      <x:c r="S3" s="48"/>
      <x:c r="T3" s="48"/>
      <x:c r="U3" s="48"/>
      <x:c r="V3" s="48"/>
      <x:c r="W3" s="48"/>
      <x:c r="X3" s="48"/>
      <x:c r="Y3" s="48"/>
      <x:c r="Z3" s="48"/>
      <x:c r="AA3" s="48"/>
      <x:c r="AB3" s="48"/>
      <x:c r="AC3" s="48"/>
      <x:c r="AD3" s="48"/>
      <x:c r="AE3" s="48"/>
      <x:c r="AF3" s="48"/>
      <x:c r="AG3" s="48"/>
      <x:c r="AH3" s="48"/>
      <x:c r="AI3" s="48"/>
      <x:c r="AJ3" s="48"/>
      <x:c r="AK3" s="48"/>
      <x:c r="AL3" s="48"/>
      <x:c r="AM3" s="48"/>
      <x:c r="AN3" s="48"/>
      <x:c r="AO3" s="48"/>
      <x:c r="AP3" s="48"/>
      <x:c r="AQ3" s="48"/>
      <x:c r="AR3" s="48"/>
      <x:c r="AS3" s="48"/>
      <x:c r="AT3" s="48"/>
      <x:c r="AU3" s="48"/>
      <x:c r="AV3" s="48"/>
      <x:c r="AW3" s="48"/>
      <x:c r="AX3" s="48"/>
      <x:c r="AY3" s="48"/>
      <x:c r="AZ3" s="48"/>
      <x:c r="BA3" s="48"/>
      <x:c r="BB3" s="48"/>
      <x:c r="BC3" s="48"/>
      <x:c r="BD3" s="48"/>
      <x:c r="BE3" s="48"/>
      <x:c r="BF3" s="48"/>
      <x:c r="BG3" s="48"/>
      <x:c r="BH3" s="48"/>
      <x:c r="BI3" s="48"/>
      <x:c r="BJ3" s="48"/>
      <x:c r="BK3" s="48"/>
      <x:c r="BL3" s="48"/>
      <x:c r="BM3" s="48"/>
      <x:c r="BN3" s="48"/>
      <x:c r="BO3" s="48"/>
      <x:c r="BP3" s="48"/>
    </x:row>
    <x:row r="4" ht="28" customHeight="1">
      <x:c r="A4" s="18" t="str">
        <x:v>Статья</x:v>
      </x:c>
      <x:c r="B4" s="18" t="str">
        <x:v>Что означает</x:v>
      </x:c>
      <x:c r="C4" s="118" t="str">
        <x:v>Год 1</x:v>
      </x:c>
      <x:c r="D4" s="121" t="str">
        <x:v>Год 2</x:v>
      </x:c>
      <x:c r="E4" s="18" t="str">
        <x:v>Год 3</x:v>
      </x:c>
      <x:c r="F4" s="126" t="str">
        <x:v>Год 4</x:v>
      </x:c>
      <x:c r="G4" s="129" t="str">
        <x:v>Год 5</x:v>
      </x:c>
      <x:c r="H4" s="18" t="str"/>
      <x:c r="I4" s="110" t="n">
        <x:v>46296</x:v>
      </x:c>
      <x:c r="J4" s="110" t="n">
        <x:v>46327</x:v>
      </x:c>
      <x:c r="K4" s="110" t="n">
        <x:v>46357</x:v>
      </x:c>
      <x:c r="L4" s="110" t="n">
        <x:v>46388</x:v>
      </x:c>
      <x:c r="M4" s="110" t="n">
        <x:v>46419</x:v>
      </x:c>
      <x:c r="N4" s="110" t="n">
        <x:v>46447</x:v>
      </x:c>
      <x:c r="O4" s="110" t="n">
        <x:v>46478</x:v>
      </x:c>
      <x:c r="P4" s="110" t="n">
        <x:v>46508</x:v>
      </x:c>
      <x:c r="Q4" s="110" t="n">
        <x:v>46539</x:v>
      </x:c>
      <x:c r="R4" s="110" t="n">
        <x:v>46569</x:v>
      </x:c>
      <x:c r="S4" s="110" t="n">
        <x:v>46600</x:v>
      </x:c>
      <x:c r="T4" s="110" t="n">
        <x:v>46631</x:v>
      </x:c>
      <x:c r="U4" s="110" t="n">
        <x:v>46661</x:v>
      </x:c>
      <x:c r="V4" s="110" t="n">
        <x:v>46692</x:v>
      </x:c>
      <x:c r="W4" s="110" t="n">
        <x:v>46722</x:v>
      </x:c>
      <x:c r="X4" s="110" t="n">
        <x:v>46753</x:v>
      </x:c>
      <x:c r="Y4" s="110" t="n">
        <x:v>46784</x:v>
      </x:c>
      <x:c r="Z4" s="110" t="n">
        <x:v>46813</x:v>
      </x:c>
      <x:c r="AA4" s="110" t="n">
        <x:v>46844</x:v>
      </x:c>
      <x:c r="AB4" s="110" t="n">
        <x:v>46874</x:v>
      </x:c>
      <x:c r="AC4" s="110" t="n">
        <x:v>46905</x:v>
      </x:c>
      <x:c r="AD4" s="110" t="n">
        <x:v>46935</x:v>
      </x:c>
      <x:c r="AE4" s="110" t="n">
        <x:v>46966</x:v>
      </x:c>
      <x:c r="AF4" s="110" t="n">
        <x:v>46997</x:v>
      </x:c>
      <x:c r="AG4" s="110" t="n">
        <x:v>47027</x:v>
      </x:c>
      <x:c r="AH4" s="110" t="n">
        <x:v>47058</x:v>
      </x:c>
      <x:c r="AI4" s="110" t="n">
        <x:v>47088</x:v>
      </x:c>
      <x:c r="AJ4" s="110" t="n">
        <x:v>47119</x:v>
      </x:c>
      <x:c r="AK4" s="110" t="n">
        <x:v>47150</x:v>
      </x:c>
      <x:c r="AL4" s="110" t="n">
        <x:v>47178</x:v>
      </x:c>
      <x:c r="AM4" s="110" t="n">
        <x:v>47209</x:v>
      </x:c>
      <x:c r="AN4" s="110" t="n">
        <x:v>47239</x:v>
      </x:c>
      <x:c r="AO4" s="110" t="n">
        <x:v>47270</x:v>
      </x:c>
      <x:c r="AP4" s="110" t="n">
        <x:v>47300</x:v>
      </x:c>
      <x:c r="AQ4" s="110" t="n">
        <x:v>47331</x:v>
      </x:c>
      <x:c r="AR4" s="110" t="n">
        <x:v>47362</x:v>
      </x:c>
      <x:c r="AS4" s="110" t="n">
        <x:v>47392</x:v>
      </x:c>
      <x:c r="AT4" s="110" t="n">
        <x:v>47423</x:v>
      </x:c>
      <x:c r="AU4" s="110" t="n">
        <x:v>47453</x:v>
      </x:c>
      <x:c r="AV4" s="110" t="n">
        <x:v>47484</x:v>
      </x:c>
      <x:c r="AW4" s="110" t="n">
        <x:v>47515</x:v>
      </x:c>
      <x:c r="AX4" s="110" t="n">
        <x:v>47543</x:v>
      </x:c>
      <x:c r="AY4" s="110" t="n">
        <x:v>47574</x:v>
      </x:c>
      <x:c r="AZ4" s="110" t="n">
        <x:v>47604</x:v>
      </x:c>
      <x:c r="BA4" s="110" t="n">
        <x:v>47635</x:v>
      </x:c>
      <x:c r="BB4" s="110" t="n">
        <x:v>47665</x:v>
      </x:c>
      <x:c r="BC4" s="110" t="n">
        <x:v>47696</x:v>
      </x:c>
      <x:c r="BD4" s="110" t="n">
        <x:v>47727</x:v>
      </x:c>
      <x:c r="BE4" s="110" t="n">
        <x:v>47757</x:v>
      </x:c>
      <x:c r="BF4" s="110" t="n">
        <x:v>47788</x:v>
      </x:c>
      <x:c r="BG4" s="110" t="n">
        <x:v>47818</x:v>
      </x:c>
      <x:c r="BH4" s="110" t="n">
        <x:v>47849</x:v>
      </x:c>
      <x:c r="BI4" s="110" t="n">
        <x:v>47880</x:v>
      </x:c>
      <x:c r="BJ4" s="110" t="n">
        <x:v>47908</x:v>
      </x:c>
      <x:c r="BK4" s="110" t="n">
        <x:v>47939</x:v>
      </x:c>
      <x:c r="BL4" s="110" t="n">
        <x:v>47969</x:v>
      </x:c>
      <x:c r="BM4" s="110" t="n">
        <x:v>48000</x:v>
      </x:c>
      <x:c r="BN4" s="110" t="n">
        <x:v>48030</x:v>
      </x:c>
      <x:c r="BO4" s="110" t="n">
        <x:v>48061</x:v>
      </x:c>
      <x:c r="BP4" s="110" t="n">
        <x:v>48092</x:v>
      </x:c>
    </x:row>
    <x:row r="5" ht="46" customHeight="1">
      <x:c r="A5" s="22" t="str">
        <x:v>Название финансового показателя</x:v>
      </x:c>
      <x:c r="B5" s="22" t="str">
        <x:v>Расшифровка</x:v>
      </x:c>
      <x:c r="C5" s="22" t="str">
        <x:v>Итог или остаток за первый год</x:v>
      </x:c>
      <x:c r="D5" s="22" t="str">
        <x:v>Итог или остаток за второй год</x:v>
      </x:c>
      <x:c r="E5" s="22" t="str">
        <x:v>Итог или остаток за третий год</x:v>
      </x:c>
      <x:c r="F5" s="22" t="str">
        <x:v>Итог или остаток за четвёртый год</x:v>
      </x:c>
      <x:c r="G5" s="22" t="str">
        <x:v>Итог или остаток за пятый год</x:v>
      </x:c>
      <x:c r="H5" s="22" t="str"/>
      <x:c r="I5" s="22" t="str">
        <x:v>Значение за месяц</x:v>
      </x:c>
      <x:c r="J5" s="22" t="str">
        <x:v>Значение за месяц</x:v>
      </x:c>
      <x:c r="K5" s="22" t="str">
        <x:v>Значение за месяц</x:v>
      </x:c>
      <x:c r="L5" s="22" t="str">
        <x:v>Значение за месяц</x:v>
      </x:c>
      <x:c r="M5" s="22" t="str">
        <x:v>Значение за месяц</x:v>
      </x:c>
      <x:c r="N5" s="22" t="str">
        <x:v>Значение за месяц</x:v>
      </x:c>
      <x:c r="O5" s="22" t="str">
        <x:v>Значение за месяц</x:v>
      </x:c>
      <x:c r="P5" s="22" t="str">
        <x:v>Значение за месяц</x:v>
      </x:c>
      <x:c r="Q5" s="22" t="str">
        <x:v>Значение за месяц</x:v>
      </x:c>
      <x:c r="R5" s="22" t="str">
        <x:v>Значение за месяц</x:v>
      </x:c>
      <x:c r="S5" s="22" t="str">
        <x:v>Значение за месяц</x:v>
      </x:c>
      <x:c r="T5" s="22" t="str">
        <x:v>Значение за месяц</x:v>
      </x:c>
      <x:c r="U5" s="22" t="str">
        <x:v>Значение за месяц</x:v>
      </x:c>
      <x:c r="V5" s="22" t="str">
        <x:v>Значение за месяц</x:v>
      </x:c>
      <x:c r="W5" s="22" t="str">
        <x:v>Значение за месяц</x:v>
      </x:c>
      <x:c r="X5" s="22" t="str">
        <x:v>Значение за месяц</x:v>
      </x:c>
      <x:c r="Y5" s="22" t="str">
        <x:v>Значение за месяц</x:v>
      </x:c>
      <x:c r="Z5" s="22" t="str">
        <x:v>Значение за месяц</x:v>
      </x:c>
      <x:c r="AA5" s="22" t="str">
        <x:v>Значение за месяц</x:v>
      </x:c>
      <x:c r="AB5" s="22" t="str">
        <x:v>Значение за месяц</x:v>
      </x:c>
      <x:c r="AC5" s="22" t="str">
        <x:v>Значение за месяц</x:v>
      </x:c>
      <x:c r="AD5" s="22" t="str">
        <x:v>Значение за месяц</x:v>
      </x:c>
      <x:c r="AE5" s="22" t="str">
        <x:v>Значение за месяц</x:v>
      </x:c>
      <x:c r="AF5" s="22" t="str">
        <x:v>Значение за месяц</x:v>
      </x:c>
      <x:c r="AG5" s="22" t="str">
        <x:v>Значение за месяц</x:v>
      </x:c>
      <x:c r="AH5" s="22" t="str">
        <x:v>Значение за месяц</x:v>
      </x:c>
      <x:c r="AI5" s="22" t="str">
        <x:v>Значение за месяц</x:v>
      </x:c>
      <x:c r="AJ5" s="22" t="str">
        <x:v>Значение за месяц</x:v>
      </x:c>
      <x:c r="AK5" s="22" t="str">
        <x:v>Значение за месяц</x:v>
      </x:c>
      <x:c r="AL5" s="22" t="str">
        <x:v>Значение за месяц</x:v>
      </x:c>
      <x:c r="AM5" s="22" t="str">
        <x:v>Значение за месяц</x:v>
      </x:c>
      <x:c r="AN5" s="22" t="str">
        <x:v>Значение за месяц</x:v>
      </x:c>
      <x:c r="AO5" s="22" t="str">
        <x:v>Значение за месяц</x:v>
      </x:c>
      <x:c r="AP5" s="22" t="str">
        <x:v>Значение за месяц</x:v>
      </x:c>
      <x:c r="AQ5" s="22" t="str">
        <x:v>Значение за месяц</x:v>
      </x:c>
      <x:c r="AR5" s="22" t="str">
        <x:v>Значение за месяц</x:v>
      </x:c>
      <x:c r="AS5" s="22" t="str">
        <x:v>Значение за месяц</x:v>
      </x:c>
      <x:c r="AT5" s="22" t="str">
        <x:v>Значение за месяц</x:v>
      </x:c>
      <x:c r="AU5" s="22" t="str">
        <x:v>Значение за месяц</x:v>
      </x:c>
      <x:c r="AV5" s="22" t="str">
        <x:v>Значение за месяц</x:v>
      </x:c>
      <x:c r="AW5" s="22" t="str">
        <x:v>Значение за месяц</x:v>
      </x:c>
      <x:c r="AX5" s="22" t="str">
        <x:v>Значение за месяц</x:v>
      </x:c>
      <x:c r="AY5" s="22" t="str">
        <x:v>Значение за месяц</x:v>
      </x:c>
      <x:c r="AZ5" s="22" t="str">
        <x:v>Значение за месяц</x:v>
      </x:c>
      <x:c r="BA5" s="22" t="str">
        <x:v>Значение за месяц</x:v>
      </x:c>
      <x:c r="BB5" s="22" t="str">
        <x:v>Значение за месяц</x:v>
      </x:c>
      <x:c r="BC5" s="22" t="str">
        <x:v>Значение за месяц</x:v>
      </x:c>
      <x:c r="BD5" s="22" t="str">
        <x:v>Значение за месяц</x:v>
      </x:c>
      <x:c r="BE5" s="22" t="str">
        <x:v>Значение за месяц</x:v>
      </x:c>
      <x:c r="BF5" s="22" t="str">
        <x:v>Значение за месяц</x:v>
      </x:c>
      <x:c r="BG5" s="22" t="str">
        <x:v>Значение за месяц</x:v>
      </x:c>
      <x:c r="BH5" s="22" t="str">
        <x:v>Значение за месяц</x:v>
      </x:c>
      <x:c r="BI5" s="22" t="str">
        <x:v>Значение за месяц</x:v>
      </x:c>
      <x:c r="BJ5" s="22" t="str">
        <x:v>Значение за месяц</x:v>
      </x:c>
      <x:c r="BK5" s="22" t="str">
        <x:v>Значение за месяц</x:v>
      </x:c>
      <x:c r="BL5" s="22" t="str">
        <x:v>Значение за месяц</x:v>
      </x:c>
      <x:c r="BM5" s="22" t="str">
        <x:v>Значение за месяц</x:v>
      </x:c>
      <x:c r="BN5" s="22" t="str">
        <x:v>Значение за месяц</x:v>
      </x:c>
      <x:c r="BO5" s="22" t="str">
        <x:v>Значение за месяц</x:v>
      </x:c>
      <x:c r="BP5" s="22" t="str">
        <x:v>Значение за месяц</x:v>
      </x:c>
    </x:row>
    <x:row r="6">
      <x:c r="A6" s="48"/>
      <x:c r="B6" s="48"/>
      <x:c r="C6" s="48"/>
      <x:c r="D6" s="48"/>
      <x:c r="E6" s="48"/>
      <x:c r="F6" s="48"/>
      <x:c r="G6" s="48"/>
      <x:c r="H6" s="48"/>
      <x:c r="I6" s="48"/>
      <x:c r="J6" s="48"/>
      <x:c r="K6" s="48"/>
      <x:c r="L6" s="48"/>
      <x:c r="M6" s="48"/>
      <x:c r="N6" s="48"/>
      <x:c r="O6" s="48"/>
      <x:c r="P6" s="48"/>
      <x:c r="Q6" s="48"/>
      <x:c r="R6" s="48"/>
      <x:c r="S6" s="48"/>
      <x:c r="T6" s="48"/>
      <x:c r="U6" s="48"/>
      <x:c r="V6" s="48"/>
      <x:c r="W6" s="48"/>
      <x:c r="X6" s="48"/>
      <x:c r="Y6" s="48"/>
      <x:c r="Z6" s="48"/>
      <x:c r="AA6" s="48"/>
      <x:c r="AB6" s="48"/>
      <x:c r="AC6" s="48"/>
      <x:c r="AD6" s="48"/>
      <x:c r="AE6" s="48"/>
      <x:c r="AF6" s="48"/>
      <x:c r="AG6" s="48"/>
      <x:c r="AH6" s="48"/>
      <x:c r="AI6" s="48"/>
      <x:c r="AJ6" s="48"/>
      <x:c r="AK6" s="48"/>
      <x:c r="AL6" s="48"/>
      <x:c r="AM6" s="48"/>
      <x:c r="AN6" s="48"/>
      <x:c r="AO6" s="48"/>
      <x:c r="AP6" s="48"/>
      <x:c r="AQ6" s="48"/>
      <x:c r="AR6" s="48"/>
      <x:c r="AS6" s="48"/>
      <x:c r="AT6" s="48"/>
      <x:c r="AU6" s="48"/>
      <x:c r="AV6" s="48"/>
      <x:c r="AW6" s="48"/>
      <x:c r="AX6" s="48"/>
      <x:c r="AY6" s="48"/>
      <x:c r="AZ6" s="48"/>
      <x:c r="BA6" s="48"/>
      <x:c r="BB6" s="48"/>
      <x:c r="BC6" s="48"/>
      <x:c r="BD6" s="48"/>
      <x:c r="BE6" s="48"/>
      <x:c r="BF6" s="48"/>
      <x:c r="BG6" s="48"/>
      <x:c r="BH6" s="48"/>
      <x:c r="BI6" s="48"/>
      <x:c r="BJ6" s="48"/>
      <x:c r="BK6" s="48"/>
      <x:c r="BL6" s="48"/>
      <x:c r="BM6" s="48"/>
      <x:c r="BN6" s="48"/>
      <x:c r="BO6" s="48"/>
      <x:c r="BP6" s="48"/>
    </x:row>
    <x:row r="7">
      <x:c r="A7" s="114" t="str">
        <x:v>ВЫРУЧКА</x:v>
      </x:c>
      <x:c r="B7" s="114" t="str">
        <x:v>Сумма всех продуктов и услуг</x:v>
      </x:c>
      <x:c r="C7" s="119" t="n">
        <x:f>SUM(I7:T7)</x:f>
        <x:v>65000000</x:v>
      </x:c>
      <x:c r="D7" s="122" t="n">
        <x:f>SUM(U7:AF7)</x:f>
        <x:v>94999999.99997002</x:v>
      </x:c>
      <x:c r="E7" s="124" t="n">
        <x:f>SUM(AG7:AR7)</x:f>
        <x:v>139999999.9999258</x:v>
      </x:c>
      <x:c r="F7" s="127" t="n">
        <x:f>SUM(AS7:BD7)</x:f>
        <x:v>219999999.99994344</x:v>
      </x:c>
      <x:c r="G7" s="130" t="n">
        <x:f>SUM(BE7:BP7)</x:f>
        <x:v>362000000.00000685</x:v>
      </x:c>
      <x:c r="H7" s="116"/>
      <x:c r="I7" s="132" t="n">
        <x:f>Revenue!B6</x:f>
        <x:v>4875000</x:v>
      </x:c>
      <x:c r="J7" s="132" t="n">
        <x:f>Revenue!B7</x:f>
        <x:v>4940000</x:v>
      </x:c>
      <x:c r="K7" s="132" t="n">
        <x:f>Revenue!B8</x:f>
        <x:v>5005000</x:v>
      </x:c>
      <x:c r="L7" s="132" t="n">
        <x:f>Revenue!B9</x:f>
        <x:v>5135000</x:v>
      </x:c>
      <x:c r="M7" s="132" t="n">
        <x:f>Revenue!B10</x:f>
        <x:v>5200000</x:v>
      </x:c>
      <x:c r="N7" s="132" t="n">
        <x:f>Revenue!B11</x:f>
        <x:v>5265000</x:v>
      </x:c>
      <x:c r="O7" s="132" t="n">
        <x:f>Revenue!B12</x:f>
        <x:v>5395000</x:v>
      </x:c>
      <x:c r="P7" s="132" t="n">
        <x:f>Revenue!B13</x:f>
        <x:v>5460000</x:v>
      </x:c>
      <x:c r="Q7" s="132" t="n">
        <x:f>Revenue!B14</x:f>
        <x:v>5590000</x:v>
      </x:c>
      <x:c r="R7" s="132" t="n">
        <x:f>Revenue!B15</x:f>
        <x:v>5720000</x:v>
      </x:c>
      <x:c r="S7" s="132" t="n">
        <x:f>Revenue!B16</x:f>
        <x:v>6110000</x:v>
      </x:c>
      <x:c r="T7" s="132" t="n">
        <x:f>Revenue!B17</x:f>
        <x:v>6305000</x:v>
      </x:c>
      <x:c r="U7" s="132" t="n">
        <x:f>Revenue!B18</x:f>
        <x:v>7124999.99999775</x:v>
      </x:c>
      <x:c r="V7" s="132" t="n">
        <x:f>Revenue!B19</x:f>
        <x:v>7219999.99999772</x:v>
      </x:c>
      <x:c r="W7" s="132" t="n">
        <x:f>Revenue!B20</x:f>
        <x:v>7314999.99999769</x:v>
      </x:c>
      <x:c r="X7" s="132" t="n">
        <x:f>Revenue!B21</x:f>
        <x:v>7504999.999997631</x:v>
      </x:c>
      <x:c r="Y7" s="132" t="n">
        <x:f>Revenue!B22</x:f>
        <x:v>7599999.999997601</x:v>
      </x:c>
      <x:c r="Z7" s="132" t="n">
        <x:f>Revenue!B23</x:f>
        <x:v>7694999.99999757</x:v>
      </x:c>
      <x:c r="AA7" s="132" t="n">
        <x:f>Revenue!B24</x:f>
        <x:v>7884999.999997511</x:v>
      </x:c>
      <x:c r="AB7" s="132" t="n">
        <x:f>Revenue!B25</x:f>
        <x:v>7979999.999997481</x:v>
      </x:c>
      <x:c r="AC7" s="132" t="n">
        <x:f>Revenue!B26</x:f>
        <x:v>8169999.999997419</x:v>
      </x:c>
      <x:c r="AD7" s="132" t="n">
        <x:f>Revenue!B27</x:f>
        <x:v>8359999.99999736</x:v>
      </x:c>
      <x:c r="AE7" s="132" t="n">
        <x:f>Revenue!B28</x:f>
        <x:v>8929999.99999718</x:v>
      </x:c>
      <x:c r="AF7" s="132" t="n">
        <x:f>Revenue!B29</x:f>
        <x:v>9214999.99999709</x:v>
      </x:c>
      <x:c r="AG7" s="132" t="n">
        <x:f>Revenue!B30</x:f>
        <x:v>10499999.999994434</x:v>
      </x:c>
      <x:c r="AH7" s="132" t="n">
        <x:f>Revenue!B31</x:f>
        <x:v>10639999.99999436</x:v>
      </x:c>
      <x:c r="AI7" s="132" t="n">
        <x:f>Revenue!B32</x:f>
        <x:v>10779999.999994285</x:v>
      </x:c>
      <x:c r="AJ7" s="132" t="n">
        <x:f>Revenue!B33</x:f>
        <x:v>11059999.999994138</x:v>
      </x:c>
      <x:c r="AK7" s="132" t="n">
        <x:f>Revenue!B34</x:f>
        <x:v>11199999.999994064</x:v>
      </x:c>
      <x:c r="AL7" s="132" t="n">
        <x:f>Revenue!B35</x:f>
        <x:v>11339999.99999399</x:v>
      </x:c>
      <x:c r="AM7" s="132" t="n">
        <x:f>Revenue!B36</x:f>
        <x:v>11619999.999993842</x:v>
      </x:c>
      <x:c r="AN7" s="132" t="n">
        <x:f>Revenue!B37</x:f>
        <x:v>11759999.999993768</x:v>
      </x:c>
      <x:c r="AO7" s="132" t="n">
        <x:f>Revenue!B38</x:f>
        <x:v>12039999.999993617</x:v>
      </x:c>
      <x:c r="AP7" s="132" t="n">
        <x:f>Revenue!B39</x:f>
        <x:v>12319999.99999347</x:v>
      </x:c>
      <x:c r="AQ7" s="132" t="n">
        <x:f>Revenue!B40</x:f>
        <x:v>13159999.999993024</x:v>
      </x:c>
      <x:c r="AR7" s="132" t="n">
        <x:f>Revenue!B41</x:f>
        <x:v>13579999.999992803</x:v>
      </x:c>
      <x:c r="AS7" s="132" t="n">
        <x:f>Revenue!B42</x:f>
        <x:v>16499999.999995755</x:v>
      </x:c>
      <x:c r="AT7" s="132" t="n">
        <x:f>Revenue!B43</x:f>
        <x:v>16719999.9999957</x:v>
      </x:c>
      <x:c r="AU7" s="132" t="n">
        <x:f>Revenue!B44</x:f>
        <x:v>16939999.99999564</x:v>
      </x:c>
      <x:c r="AV7" s="132" t="n">
        <x:f>Revenue!B45</x:f>
        <x:v>17379999.99999553</x:v>
      </x:c>
      <x:c r="AW7" s="132" t="n">
        <x:f>Revenue!B46</x:f>
        <x:v>17599999.999995474</x:v>
      </x:c>
      <x:c r="AX7" s="132" t="n">
        <x:f>Revenue!B47</x:f>
        <x:v>17819999.999995418</x:v>
      </x:c>
      <x:c r="AY7" s="132" t="n">
        <x:f>Revenue!B48</x:f>
        <x:v>18259999.999995302</x:v>
      </x:c>
      <x:c r="AZ7" s="132" t="n">
        <x:f>Revenue!B49</x:f>
        <x:v>18479999.999995247</x:v>
      </x:c>
      <x:c r="BA7" s="132" t="n">
        <x:f>Revenue!B50</x:f>
        <x:v>18919999.99999513</x:v>
      </x:c>
      <x:c r="BB7" s="132" t="n">
        <x:f>Revenue!B51</x:f>
        <x:v>19359999.99999502</x:v>
      </x:c>
      <x:c r="BC7" s="132" t="n">
        <x:f>Revenue!B52</x:f>
        <x:v>20679999.99999468</x:v>
      </x:c>
      <x:c r="BD7" s="132" t="n">
        <x:f>Revenue!B53</x:f>
        <x:v>21339999.999994513</x:v>
      </x:c>
      <x:c r="BE7" s="132" t="n">
        <x:f>Revenue!B54</x:f>
        <x:v>27150000.000000514</x:v>
      </x:c>
      <x:c r="BF7" s="132" t="n">
        <x:f>Revenue!B55</x:f>
        <x:v>27512000.00000052</x:v>
      </x:c>
      <x:c r="BG7" s="132" t="n">
        <x:f>Revenue!B56</x:f>
        <x:v>27874000.00000053</x:v>
      </x:c>
      <x:c r="BH7" s="132" t="n">
        <x:f>Revenue!B57</x:f>
        <x:v>28598000.00000054</x:v>
      </x:c>
      <x:c r="BI7" s="132" t="n">
        <x:f>Revenue!B58</x:f>
        <x:v>28960000.000000548</x:v>
      </x:c>
      <x:c r="BJ7" s="132" t="n">
        <x:f>Revenue!B59</x:f>
        <x:v>29322000.000000555</x:v>
      </x:c>
      <x:c r="BK7" s="132" t="n">
        <x:f>Revenue!B60</x:f>
        <x:v>30046000.00000057</x:v>
      </x:c>
      <x:c r="BL7" s="132" t="n">
        <x:f>Revenue!B61</x:f>
        <x:v>30408000.000000577</x:v>
      </x:c>
      <x:c r="BM7" s="132" t="n">
        <x:f>Revenue!B62</x:f>
        <x:v>31132000.00000059</x:v>
      </x:c>
      <x:c r="BN7" s="132" t="n">
        <x:f>Revenue!B63</x:f>
        <x:v>31856000.0000006</x:v>
      </x:c>
      <x:c r="BO7" s="132" t="n">
        <x:f>Revenue!B64</x:f>
        <x:v>34028000.00000064</x:v>
      </x:c>
      <x:c r="BP7" s="132" t="n">
        <x:f>Revenue!B65</x:f>
        <x:v>35114000.00000066</x:v>
      </x:c>
    </x:row>
    <x:row r="8">
      <x:c r="A8" s="26" t="str">
        <x:v>  Тариф 1: Light</x:v>
      </x:c>
      <x:c r="B8" s="26" t="str">
        <x:v>Подписка 990 ₽ в месяц</x:v>
      </x:c>
      <x:c r="C8" s="63" t="n">
        <x:f>SUM(I8:T8)</x:f>
        <x:v>9750000</x:v>
      </x:c>
      <x:c r="D8" s="67" t="n">
        <x:f>SUM(U8:AF8)</x:f>
        <x:v>20899999.9999934</x:v>
      </x:c>
      <x:c r="E8" s="71" t="n">
        <x:f>SUM(AG8:AR8)</x:f>
        <x:v>44799999.999976255</x:v>
      </x:c>
      <x:c r="F8" s="75" t="n">
        <x:f>SUM(AS8:BD8)</x:f>
        <x:v>92399999.99997623</x:v>
      </x:c>
      <x:c r="G8" s="79" t="n">
        <x:f>SUM(BE8:BP8)</x:f>
        <x:v>188240000.00000355</x:v>
      </x:c>
      <x:c r="H8" s="58"/>
      <x:c r="I8" s="61" t="n">
        <x:f>Revenue!C6</x:f>
        <x:v>731250</x:v>
      </x:c>
      <x:c r="J8" s="61" t="n">
        <x:f>Revenue!C7</x:f>
        <x:v>741000</x:v>
      </x:c>
      <x:c r="K8" s="61" t="n">
        <x:f>Revenue!C8</x:f>
        <x:v>750750</x:v>
      </x:c>
      <x:c r="L8" s="61" t="n">
        <x:f>Revenue!C9</x:f>
        <x:v>770250</x:v>
      </x:c>
      <x:c r="M8" s="61" t="n">
        <x:f>Revenue!C10</x:f>
        <x:v>780000</x:v>
      </x:c>
      <x:c r="N8" s="61" t="n">
        <x:f>Revenue!C11</x:f>
        <x:v>789750</x:v>
      </x:c>
      <x:c r="O8" s="61" t="n">
        <x:f>Revenue!C12</x:f>
        <x:v>809250</x:v>
      </x:c>
      <x:c r="P8" s="61" t="n">
        <x:f>Revenue!C13</x:f>
        <x:v>819000</x:v>
      </x:c>
      <x:c r="Q8" s="61" t="n">
        <x:f>Revenue!C14</x:f>
        <x:v>838500</x:v>
      </x:c>
      <x:c r="R8" s="61" t="n">
        <x:f>Revenue!C15</x:f>
        <x:v>858000</x:v>
      </x:c>
      <x:c r="S8" s="61" t="n">
        <x:f>Revenue!C16</x:f>
        <x:v>916500</x:v>
      </x:c>
      <x:c r="T8" s="61" t="n">
        <x:f>Revenue!C17</x:f>
        <x:v>945750</x:v>
      </x:c>
      <x:c r="U8" s="61" t="n">
        <x:f>Revenue!C18</x:f>
        <x:v>1567499.999999505</x:v>
      </x:c>
      <x:c r="V8" s="61" t="n">
        <x:f>Revenue!C19</x:f>
        <x:v>1588399.9999994985</x:v>
      </x:c>
      <x:c r="W8" s="61" t="n">
        <x:f>Revenue!C20</x:f>
        <x:v>1609299.999999492</x:v>
      </x:c>
      <x:c r="X8" s="61" t="n">
        <x:f>Revenue!C21</x:f>
        <x:v>1651099.9999994787</x:v>
      </x:c>
      <x:c r="Y8" s="61" t="n">
        <x:f>Revenue!C22</x:f>
        <x:v>1671999.9999994722</x:v>
      </x:c>
      <x:c r="Z8" s="61" t="n">
        <x:f>Revenue!C23</x:f>
        <x:v>1692899.9999994654</x:v>
      </x:c>
      <x:c r="AA8" s="61" t="n">
        <x:f>Revenue!C24</x:f>
        <x:v>1734699.9999994524</x:v>
      </x:c>
      <x:c r="AB8" s="61" t="n">
        <x:f>Revenue!C25</x:f>
        <x:v>1755599.9999994459</x:v>
      </x:c>
      <x:c r="AC8" s="61" t="n">
        <x:f>Revenue!C26</x:f>
        <x:v>1797399.9999994324</x:v>
      </x:c>
      <x:c r="AD8" s="61" t="n">
        <x:f>Revenue!C27</x:f>
        <x:v>1839199.999999419</x:v>
      </x:c>
      <x:c r="AE8" s="61" t="n">
        <x:f>Revenue!C28</x:f>
        <x:v>1964599.9999993795</x:v>
      </x:c>
      <x:c r="AF8" s="61" t="n">
        <x:f>Revenue!C29</x:f>
        <x:v>2027299.99999936</x:v>
      </x:c>
      <x:c r="AG8" s="61" t="n">
        <x:f>Revenue!C30</x:f>
        <x:v>3359999.9999982193</x:v>
      </x:c>
      <x:c r="AH8" s="61" t="n">
        <x:f>Revenue!C31</x:f>
        <x:v>3404799.999998195</x:v>
      </x:c>
      <x:c r="AI8" s="61" t="n">
        <x:f>Revenue!C32</x:f>
        <x:v>3449599.9999981713</x:v>
      </x:c>
      <x:c r="AJ8" s="61" t="n">
        <x:f>Revenue!C33</x:f>
        <x:v>3539199.9999981243</x:v>
      </x:c>
      <x:c r="AK8" s="61" t="n">
        <x:f>Revenue!C34</x:f>
        <x:v>3583999.9999981006</x:v>
      </x:c>
      <x:c r="AL8" s="61" t="n">
        <x:f>Revenue!C35</x:f>
        <x:v>3628799.999998077</x:v>
      </x:c>
      <x:c r="AM8" s="61" t="n">
        <x:f>Revenue!C36</x:f>
        <x:v>3718399.9999980293</x:v>
      </x:c>
      <x:c r="AN8" s="61" t="n">
        <x:f>Revenue!C37</x:f>
        <x:v>3763199.9999980056</x:v>
      </x:c>
      <x:c r="AO8" s="61" t="n">
        <x:f>Revenue!C38</x:f>
        <x:v>3852799.9999979576</x:v>
      </x:c>
      <x:c r="AP8" s="61" t="n">
        <x:f>Revenue!C39</x:f>
        <x:v>3942399.99999791</x:v>
      </x:c>
      <x:c r="AQ8" s="61" t="n">
        <x:f>Revenue!C40</x:f>
        <x:v>4211199.999997768</x:v>
      </x:c>
      <x:c r="AR8" s="61" t="n">
        <x:f>Revenue!C41</x:f>
        <x:v>4345599.999997697</x:v>
      </x:c>
      <x:c r="AS8" s="61" t="n">
        <x:f>Revenue!C42</x:f>
        <x:v>6929999.9999982165</x:v>
      </x:c>
      <x:c r="AT8" s="61" t="n">
        <x:f>Revenue!C43</x:f>
        <x:v>7022399.999998193</x:v>
      </x:c>
      <x:c r="AU8" s="61" t="n">
        <x:f>Revenue!C44</x:f>
        <x:v>7114799.999998169</x:v>
      </x:c>
      <x:c r="AV8" s="61" t="n">
        <x:f>Revenue!C45</x:f>
        <x:v>7299599.999998122</x:v>
      </x:c>
      <x:c r="AW8" s="61" t="n">
        <x:f>Revenue!C46</x:f>
        <x:v>7391999.999998099</x:v>
      </x:c>
      <x:c r="AX8" s="61" t="n">
        <x:f>Revenue!C47</x:f>
        <x:v>7484399.999998075</x:v>
      </x:c>
      <x:c r="AY8" s="61" t="n">
        <x:f>Revenue!C48</x:f>
        <x:v>7669199.9999980265</x:v>
      </x:c>
      <x:c r="AZ8" s="61" t="n">
        <x:f>Revenue!C49</x:f>
        <x:v>7761599.999998003</x:v>
      </x:c>
      <x:c r="BA8" s="61" t="n">
        <x:f>Revenue!C50</x:f>
        <x:v>7946399.999997955</x:v>
      </x:c>
      <x:c r="BB8" s="61" t="n">
        <x:f>Revenue!C51</x:f>
        <x:v>8131199.999997908</x:v>
      </x:c>
      <x:c r="BC8" s="61" t="n">
        <x:f>Revenue!C52</x:f>
        <x:v>8685599.999997765</x:v>
      </x:c>
      <x:c r="BD8" s="61" t="n">
        <x:f>Revenue!C53</x:f>
        <x:v>8962799.999997696</x:v>
      </x:c>
      <x:c r="BE8" s="61" t="n">
        <x:f>Revenue!C54</x:f>
        <x:v>14118000.000000268</x:v>
      </x:c>
      <x:c r="BF8" s="61" t="n">
        <x:f>Revenue!C55</x:f>
        <x:v>14306240.000000272</x:v>
      </x:c>
      <x:c r="BG8" s="61" t="n">
        <x:f>Revenue!C56</x:f>
        <x:v>14494480.000000276</x:v>
      </x:c>
      <x:c r="BH8" s="61" t="n">
        <x:f>Revenue!C57</x:f>
        <x:v>14870960.000000281</x:v>
      </x:c>
      <x:c r="BI8" s="61" t="n">
        <x:f>Revenue!C58</x:f>
        <x:v>15059200.000000285</x:v>
      </x:c>
      <x:c r="BJ8" s="61" t="n">
        <x:f>Revenue!C59</x:f>
        <x:v>15247440.000000289</x:v>
      </x:c>
      <x:c r="BK8" s="61" t="n">
        <x:f>Revenue!C60</x:f>
        <x:v>15623920.000000296</x:v>
      </x:c>
      <x:c r="BL8" s="61" t="n">
        <x:f>Revenue!C61</x:f>
        <x:v>15812160.0000003</x:v>
      </x:c>
      <x:c r="BM8" s="61" t="n">
        <x:f>Revenue!C62</x:f>
        <x:v>16188640.000000307</x:v>
      </x:c>
      <x:c r="BN8" s="61" t="n">
        <x:f>Revenue!C63</x:f>
        <x:v>16565120.000000313</x:v>
      </x:c>
      <x:c r="BO8" s="61" t="n">
        <x:f>Revenue!C64</x:f>
        <x:v>17694560.000000335</x:v>
      </x:c>
      <x:c r="BP8" s="61" t="n">
        <x:f>Revenue!C65</x:f>
        <x:v>18259280.000000346</x:v>
      </x:c>
    </x:row>
    <x:row r="9">
      <x:c r="A9" s="26" t="str">
        <x:v>  Тариф 2: с экспертом</x:v>
      </x:c>
      <x:c r="B9" s="26" t="str">
        <x:v>Подписка 14 990 ₽ в месяц</x:v>
      </x:c>
      <x:c r="C9" s="63" t="n">
        <x:f>SUM(I9:T9)</x:f>
        <x:v>5200000</x:v>
      </x:c>
      <x:c r="D9" s="67" t="n">
        <x:f>SUM(U9:AF9)</x:f>
        <x:v>9499999.999997003</x:v>
      </x:c>
      <x:c r="E9" s="71" t="n">
        <x:f>SUM(AG9:AR9)</x:f>
        <x:v>16799999.999991097</x:v>
      </x:c>
      <x:c r="F9" s="75" t="n">
        <x:f>SUM(AS9:BD9)</x:f>
        <x:v>30799999.999992076</x:v>
      </x:c>
      <x:c r="G9" s="79" t="n">
        <x:f>SUM(BE9:BP9)</x:f>
        <x:v>54300000.00000103</x:v>
      </x:c>
      <x:c r="H9" s="58"/>
      <x:c r="I9" s="61" t="n">
        <x:f>Revenue!D6</x:f>
        <x:v>390000</x:v>
      </x:c>
      <x:c r="J9" s="61" t="n">
        <x:f>Revenue!D7</x:f>
        <x:v>395200</x:v>
      </x:c>
      <x:c r="K9" s="61" t="n">
        <x:f>Revenue!D8</x:f>
        <x:v>400400</x:v>
      </x:c>
      <x:c r="L9" s="61" t="n">
        <x:f>Revenue!D9</x:f>
        <x:v>410800</x:v>
      </x:c>
      <x:c r="M9" s="61" t="n">
        <x:f>Revenue!D10</x:f>
        <x:v>416000</x:v>
      </x:c>
      <x:c r="N9" s="61" t="n">
        <x:f>Revenue!D11</x:f>
        <x:v>421200</x:v>
      </x:c>
      <x:c r="O9" s="61" t="n">
        <x:f>Revenue!D12</x:f>
        <x:v>431600</x:v>
      </x:c>
      <x:c r="P9" s="61" t="n">
        <x:f>Revenue!D13</x:f>
        <x:v>436800</x:v>
      </x:c>
      <x:c r="Q9" s="61" t="n">
        <x:f>Revenue!D14</x:f>
        <x:v>447200</x:v>
      </x:c>
      <x:c r="R9" s="61" t="n">
        <x:f>Revenue!D15</x:f>
        <x:v>457600</x:v>
      </x:c>
      <x:c r="S9" s="61" t="n">
        <x:f>Revenue!D16</x:f>
        <x:v>488800</x:v>
      </x:c>
      <x:c r="T9" s="61" t="n">
        <x:f>Revenue!D17</x:f>
        <x:v>504400</x:v>
      </x:c>
      <x:c r="U9" s="61" t="n">
        <x:f>Revenue!D18</x:f>
        <x:v>712499.9999997751</x:v>
      </x:c>
      <x:c r="V9" s="61" t="n">
        <x:f>Revenue!D19</x:f>
        <x:v>721999.9999997721</x:v>
      </x:c>
      <x:c r="W9" s="61" t="n">
        <x:f>Revenue!D20</x:f>
        <x:v>731499.999999769</x:v>
      </x:c>
      <x:c r="X9" s="61" t="n">
        <x:f>Revenue!D21</x:f>
        <x:v>750499.9999997631</x:v>
      </x:c>
      <x:c r="Y9" s="61" t="n">
        <x:f>Revenue!D22</x:f>
        <x:v>759999.9999997602</x:v>
      </x:c>
      <x:c r="Z9" s="61" t="n">
        <x:f>Revenue!D23</x:f>
        <x:v>769499.999999757</x:v>
      </x:c>
      <x:c r="AA9" s="61" t="n">
        <x:f>Revenue!D24</x:f>
        <x:v>788499.9999997511</x:v>
      </x:c>
      <x:c r="AB9" s="61" t="n">
        <x:f>Revenue!D25</x:f>
        <x:v>797999.9999997481</x:v>
      </x:c>
      <x:c r="AC9" s="61" t="n">
        <x:f>Revenue!D26</x:f>
        <x:v>816999.999999742</x:v>
      </x:c>
      <x:c r="AD9" s="61" t="n">
        <x:f>Revenue!D27</x:f>
        <x:v>835999.999999736</x:v>
      </x:c>
      <x:c r="AE9" s="61" t="n">
        <x:f>Revenue!D28</x:f>
        <x:v>892999.999999718</x:v>
      </x:c>
      <x:c r="AF9" s="61" t="n">
        <x:f>Revenue!D29</x:f>
        <x:v>921499.9999997091</x:v>
      </x:c>
      <x:c r="AG9" s="61" t="n">
        <x:f>Revenue!D30</x:f>
        <x:v>1259999.999999332</x:v>
      </x:c>
      <x:c r="AH9" s="61" t="n">
        <x:f>Revenue!D31</x:f>
        <x:v>1276799.9999993232</x:v>
      </x:c>
      <x:c r="AI9" s="61" t="n">
        <x:f>Revenue!D32</x:f>
        <x:v>1293599.9999993143</x:v>
      </x:c>
      <x:c r="AJ9" s="61" t="n">
        <x:f>Revenue!D33</x:f>
        <x:v>1327199.9999992966</x:v>
      </x:c>
      <x:c r="AK9" s="61" t="n">
        <x:f>Revenue!D34</x:f>
        <x:v>1343999.9999992875</x:v>
      </x:c>
      <x:c r="AL9" s="61" t="n">
        <x:f>Revenue!D35</x:f>
        <x:v>1360799.9999992787</x:v>
      </x:c>
      <x:c r="AM9" s="61" t="n">
        <x:f>Revenue!D36</x:f>
        <x:v>1394399.999999261</x:v>
      </x:c>
      <x:c r="AN9" s="61" t="n">
        <x:f>Revenue!D37</x:f>
        <x:v>1411199.9999992521</x:v>
      </x:c>
      <x:c r="AO9" s="61" t="n">
        <x:f>Revenue!D38</x:f>
        <x:v>1444799.999999234</x:v>
      </x:c>
      <x:c r="AP9" s="61" t="n">
        <x:f>Revenue!D39</x:f>
        <x:v>1478399.9999992163</x:v>
      </x:c>
      <x:c r="AQ9" s="61" t="n">
        <x:f>Revenue!D40</x:f>
        <x:v>1579199.999999163</x:v>
      </x:c>
      <x:c r="AR9" s="61" t="n">
        <x:f>Revenue!D41</x:f>
        <x:v>1629599.9999991362</x:v>
      </x:c>
      <x:c r="AS9" s="61" t="n">
        <x:f>Revenue!D42</x:f>
        <x:v>2309999.999999406</x:v>
      </x:c>
      <x:c r="AT9" s="61" t="n">
        <x:f>Revenue!D43</x:f>
        <x:v>2340799.999999398</x:v>
      </x:c>
      <x:c r="AU9" s="61" t="n">
        <x:f>Revenue!D44</x:f>
        <x:v>2371599.99999939</x:v>
      </x:c>
      <x:c r="AV9" s="61" t="n">
        <x:f>Revenue!D45</x:f>
        <x:v>2433199.999999374</x:v>
      </x:c>
      <x:c r="AW9" s="61" t="n">
        <x:f>Revenue!D46</x:f>
        <x:v>2463999.9999993667</x:v>
      </x:c>
      <x:c r="AX9" s="61" t="n">
        <x:f>Revenue!D47</x:f>
        <x:v>2494799.999999359</x:v>
      </x:c>
      <x:c r="AY9" s="61" t="n">
        <x:f>Revenue!D48</x:f>
        <x:v>2556399.9999993425</x:v>
      </x:c>
      <x:c r="AZ9" s="61" t="n">
        <x:f>Revenue!D49</x:f>
        <x:v>2587199.9999993346</x:v>
      </x:c>
      <x:c r="BA9" s="61" t="n">
        <x:f>Revenue!D50</x:f>
        <x:v>2648799.9999993187</x:v>
      </x:c>
      <x:c r="BB9" s="61" t="n">
        <x:f>Revenue!D51</x:f>
        <x:v>2710399.999999303</x:v>
      </x:c>
      <x:c r="BC9" s="61" t="n">
        <x:f>Revenue!D52</x:f>
        <x:v>2895199.9999992554</x:v>
      </x:c>
      <x:c r="BD9" s="61" t="n">
        <x:f>Revenue!D53</x:f>
        <x:v>2987599.999999232</x:v>
      </x:c>
      <x:c r="BE9" s="61" t="n">
        <x:f>Revenue!D54</x:f>
        <x:v>4072500.000000077</x:v>
      </x:c>
      <x:c r="BF9" s="61" t="n">
        <x:f>Revenue!D55</x:f>
        <x:v>4126800.000000078</x:v>
      </x:c>
      <x:c r="BG9" s="61" t="n">
        <x:f>Revenue!D56</x:f>
        <x:v>4181100.000000079</x:v>
      </x:c>
      <x:c r="BH9" s="61" t="n">
        <x:f>Revenue!D57</x:f>
        <x:v>4289700.000000081</x:v>
      </x:c>
      <x:c r="BI9" s="61" t="n">
        <x:f>Revenue!D58</x:f>
        <x:v>4344000.000000082</x:v>
      </x:c>
      <x:c r="BJ9" s="61" t="n">
        <x:f>Revenue!D59</x:f>
        <x:v>4398300.000000083</x:v>
      </x:c>
      <x:c r="BK9" s="61" t="n">
        <x:f>Revenue!D60</x:f>
        <x:v>4506900.000000086</x:v>
      </x:c>
      <x:c r="BL9" s="61" t="n">
        <x:f>Revenue!D61</x:f>
        <x:v>4561200.000000087</x:v>
      </x:c>
      <x:c r="BM9" s="61" t="n">
        <x:f>Revenue!D62</x:f>
        <x:v>4669800.0000000885</x:v>
      </x:c>
      <x:c r="BN9" s="61" t="n">
        <x:f>Revenue!D63</x:f>
        <x:v>4778400.000000089</x:v>
      </x:c>
      <x:c r="BO9" s="61" t="n">
        <x:f>Revenue!D64</x:f>
        <x:v>5104200.000000096</x:v>
      </x:c>
      <x:c r="BP9" s="61" t="n">
        <x:f>Revenue!D65</x:f>
        <x:v>5267100.0000001</x:v>
      </x:c>
    </x:row>
    <x:row r="10">
      <x:c r="A10" s="26" t="str">
        <x:v>  AI-баланс</x:v>
      </x:c>
      <x:c r="B10" s="26" t="str">
        <x:v>Дополнительные пополнения AI</x:v>
      </x:c>
      <x:c r="C10" s="63" t="n">
        <x:f>SUM(I10:T10)</x:f>
        <x:v>4550000.000000001</x:v>
      </x:c>
      <x:c r="D10" s="67" t="n">
        <x:f>SUM(U10:AF10)</x:f>
        <x:v>7599999.9999976</x:v>
      </x:c>
      <x:c r="E10" s="71" t="n">
        <x:f>SUM(AG10:AR10)</x:f>
        <x:v>13999999.99999258</x:v>
      </x:c>
      <x:c r="F10" s="75" t="n">
        <x:f>SUM(AS10:BD10)</x:f>
        <x:v>26399999.999993213</x:v>
      </x:c>
      <x:c r="G10" s="79" t="n">
        <x:f>SUM(BE10:BP10)</x:f>
        <x:v>47060000.00000089</x:v>
      </x:c>
      <x:c r="H10" s="58"/>
      <x:c r="I10" s="61" t="n">
        <x:f>Revenue!E6</x:f>
        <x:v>341250.00000000006</x:v>
      </x:c>
      <x:c r="J10" s="61" t="n">
        <x:f>Revenue!E7</x:f>
        <x:v>345800.00000000006</x:v>
      </x:c>
      <x:c r="K10" s="61" t="n">
        <x:f>Revenue!E8</x:f>
        <x:v>350350.00000000006</x:v>
      </x:c>
      <x:c r="L10" s="61" t="n">
        <x:f>Revenue!E9</x:f>
        <x:v>359450.00000000006</x:v>
      </x:c>
      <x:c r="M10" s="61" t="n">
        <x:f>Revenue!E10</x:f>
        <x:v>364000.00000000006</x:v>
      </x:c>
      <x:c r="N10" s="61" t="n">
        <x:f>Revenue!E11</x:f>
        <x:v>368550.00000000006</x:v>
      </x:c>
      <x:c r="O10" s="61" t="n">
        <x:f>Revenue!E12</x:f>
        <x:v>377650.00000000006</x:v>
      </x:c>
      <x:c r="P10" s="61" t="n">
        <x:f>Revenue!E13</x:f>
        <x:v>382200.00000000006</x:v>
      </x:c>
      <x:c r="Q10" s="61" t="n">
        <x:f>Revenue!E14</x:f>
        <x:v>391300.00000000006</x:v>
      </x:c>
      <x:c r="R10" s="61" t="n">
        <x:f>Revenue!E15</x:f>
        <x:v>400400.00000000006</x:v>
      </x:c>
      <x:c r="S10" s="61" t="n">
        <x:f>Revenue!E16</x:f>
        <x:v>427700.00000000006</x:v>
      </x:c>
      <x:c r="T10" s="61" t="n">
        <x:f>Revenue!E17</x:f>
        <x:v>441350.00000000006</x:v>
      </x:c>
      <x:c r="U10" s="61" t="n">
        <x:f>Revenue!E18</x:f>
        <x:v>569999.99999982</x:v>
      </x:c>
      <x:c r="V10" s="61" t="n">
        <x:f>Revenue!E19</x:f>
        <x:v>577599.9999998176</x:v>
      </x:c>
      <x:c r="W10" s="61" t="n">
        <x:f>Revenue!E20</x:f>
        <x:v>585199.9999998152</x:v>
      </x:c>
      <x:c r="X10" s="61" t="n">
        <x:f>Revenue!E21</x:f>
        <x:v>600399.9999998105</x:v>
      </x:c>
      <x:c r="Y10" s="61" t="n">
        <x:f>Revenue!E22</x:f>
        <x:v>607999.999999808</x:v>
      </x:c>
      <x:c r="Z10" s="61" t="n">
        <x:f>Revenue!E23</x:f>
        <x:v>615599.9999998056</x:v>
      </x:c>
      <x:c r="AA10" s="61" t="n">
        <x:f>Revenue!E24</x:f>
        <x:v>630799.9999998008</x:v>
      </x:c>
      <x:c r="AB10" s="61" t="n">
        <x:f>Revenue!E25</x:f>
        <x:v>638399.9999997985</x:v>
      </x:c>
      <x:c r="AC10" s="61" t="n">
        <x:f>Revenue!E26</x:f>
        <x:v>653599.9999997936</x:v>
      </x:c>
      <x:c r="AD10" s="61" t="n">
        <x:f>Revenue!E27</x:f>
        <x:v>668799.9999997888</x:v>
      </x:c>
      <x:c r="AE10" s="61" t="n">
        <x:f>Revenue!E28</x:f>
        <x:v>714399.9999997744</x:v>
      </x:c>
      <x:c r="AF10" s="61" t="n">
        <x:f>Revenue!E29</x:f>
        <x:v>737199.9999997673</x:v>
      </x:c>
      <x:c r="AG10" s="61" t="n">
        <x:f>Revenue!E30</x:f>
        <x:v>1049999.9999994435</x:v>
      </x:c>
      <x:c r="AH10" s="61" t="n">
        <x:f>Revenue!E31</x:f>
        <x:v>1063999.999999436</x:v>
      </x:c>
      <x:c r="AI10" s="61" t="n">
        <x:f>Revenue!E32</x:f>
        <x:v>1077999.9999994286</x:v>
      </x:c>
      <x:c r="AJ10" s="61" t="n">
        <x:f>Revenue!E33</x:f>
        <x:v>1105999.999999414</x:v>
      </x:c>
      <x:c r="AK10" s="61" t="n">
        <x:f>Revenue!E34</x:f>
        <x:v>1119999.9999994065</x:v>
      </x:c>
      <x:c r="AL10" s="61" t="n">
        <x:f>Revenue!E35</x:f>
        <x:v>1133999.999999399</x:v>
      </x:c>
      <x:c r="AM10" s="61" t="n">
        <x:f>Revenue!E36</x:f>
        <x:v>1161999.9999993842</x:v>
      </x:c>
      <x:c r="AN10" s="61" t="n">
        <x:f>Revenue!E37</x:f>
        <x:v>1175999.9999993767</x:v>
      </x:c>
      <x:c r="AO10" s="61" t="n">
        <x:f>Revenue!E38</x:f>
        <x:v>1203999.9999993618</x:v>
      </x:c>
      <x:c r="AP10" s="61" t="n">
        <x:f>Revenue!E39</x:f>
        <x:v>1231999.999999347</x:v>
      </x:c>
      <x:c r="AQ10" s="61" t="n">
        <x:f>Revenue!E40</x:f>
        <x:v>1315999.9999993024</x:v>
      </x:c>
      <x:c r="AR10" s="61" t="n">
        <x:f>Revenue!E41</x:f>
        <x:v>1357999.9999992803</x:v>
      </x:c>
      <x:c r="AS10" s="61" t="n">
        <x:f>Revenue!E42</x:f>
        <x:v>1979999.9999994906</x:v>
      </x:c>
      <x:c r="AT10" s="61" t="n">
        <x:f>Revenue!E43</x:f>
        <x:v>2006399.9999994838</x:v>
      </x:c>
      <x:c r="AU10" s="61" t="n">
        <x:f>Revenue!E44</x:f>
        <x:v>2032799.9999994768</x:v>
      </x:c>
      <x:c r="AV10" s="61" t="n">
        <x:f>Revenue!E45</x:f>
        <x:v>2085599.9999994636</x:v>
      </x:c>
      <x:c r="AW10" s="61" t="n">
        <x:f>Revenue!E46</x:f>
        <x:v>2111999.9999994566</x:v>
      </x:c>
      <x:c r="AX10" s="61" t="n">
        <x:f>Revenue!E47</x:f>
        <x:v>2138399.99999945</x:v>
      </x:c>
      <x:c r="AY10" s="61" t="n">
        <x:f>Revenue!E48</x:f>
        <x:v>2191199.999999436</x:v>
      </x:c>
      <x:c r="AZ10" s="61" t="n">
        <x:f>Revenue!E49</x:f>
        <x:v>2217599.9999994296</x:v>
      </x:c>
      <x:c r="BA10" s="61" t="n">
        <x:f>Revenue!E50</x:f>
        <x:v>2270399.9999994156</x:v>
      </x:c>
      <x:c r="BB10" s="61" t="n">
        <x:f>Revenue!E51</x:f>
        <x:v>2323199.999999402</x:v>
      </x:c>
      <x:c r="BC10" s="61" t="n">
        <x:f>Revenue!E52</x:f>
        <x:v>2481599.9999993616</x:v>
      </x:c>
      <x:c r="BD10" s="61" t="n">
        <x:f>Revenue!E53</x:f>
        <x:v>2560799.9999993416</x:v>
      </x:c>
      <x:c r="BE10" s="61" t="n">
        <x:f>Revenue!E54</x:f>
        <x:v>3529500.000000067</x:v>
      </x:c>
      <x:c r="BF10" s="61" t="n">
        <x:f>Revenue!E55</x:f>
        <x:v>3576560.000000068</x:v>
      </x:c>
      <x:c r="BG10" s="61" t="n">
        <x:f>Revenue!E56</x:f>
        <x:v>3623620.000000069</x:v>
      </x:c>
      <x:c r="BH10" s="61" t="n">
        <x:f>Revenue!E57</x:f>
        <x:v>3717740.0000000703</x:v>
      </x:c>
      <x:c r="BI10" s="61" t="n">
        <x:f>Revenue!E58</x:f>
        <x:v>3764800.0000000712</x:v>
      </x:c>
      <x:c r="BJ10" s="61" t="n">
        <x:f>Revenue!E59</x:f>
        <x:v>3811860.000000072</x:v>
      </x:c>
      <x:c r="BK10" s="61" t="n">
        <x:f>Revenue!E60</x:f>
        <x:v>3905980.000000074</x:v>
      </x:c>
      <x:c r="BL10" s="61" t="n">
        <x:f>Revenue!E61</x:f>
        <x:v>3953040.000000075</x:v>
      </x:c>
      <x:c r="BM10" s="61" t="n">
        <x:f>Revenue!E62</x:f>
        <x:v>4047160.000000077</x:v>
      </x:c>
      <x:c r="BN10" s="61" t="n">
        <x:f>Revenue!E63</x:f>
        <x:v>4141280.000000078</x:v>
      </x:c>
      <x:c r="BO10" s="61" t="n">
        <x:f>Revenue!E64</x:f>
        <x:v>4423640.000000084</x:v>
      </x:c>
      <x:c r="BP10" s="61" t="n">
        <x:f>Revenue!E65</x:f>
        <x:v>4564820.000000087</x:v>
      </x:c>
    </x:row>
    <x:row r="11">
      <x:c r="A11" s="26" t="str">
        <x:v>  Дополнительные услуги</x:v>
      </x:c>
      <x:c r="B11" s="26" t="str">
        <x:v>Консультации, выезды, приёмка и документы по 4 900 ₽</x:v>
      </x:c>
      <x:c r="C11" s="63" t="n">
        <x:f>SUM(I11:T11)</x:f>
        <x:v>3250000</x:v>
      </x:c>
      <x:c r="D11" s="67" t="n">
        <x:f>SUM(U11:AF11)</x:f>
        <x:v>4749999.9999985015</x:v>
      </x:c>
      <x:c r="E11" s="71" t="n">
        <x:f>SUM(AG11:AR11)</x:f>
        <x:v>8399999.999995548</x:v>
      </x:c>
      <x:c r="F11" s="75" t="n">
        <x:f>SUM(AS11:BD11)</x:f>
        <x:v>15399999.999996038</x:v>
      </x:c>
      <x:c r="G11" s="79" t="n">
        <x:f>SUM(BE11:BP11)</x:f>
        <x:v>25340000.000000477</x:v>
      </x:c>
      <x:c r="H11" s="58"/>
      <x:c r="I11" s="61" t="n">
        <x:f>Revenue!F6</x:f>
        <x:v>243750</x:v>
      </x:c>
      <x:c r="J11" s="61" t="n">
        <x:f>Revenue!F7</x:f>
        <x:v>247000</x:v>
      </x:c>
      <x:c r="K11" s="61" t="n">
        <x:f>Revenue!F8</x:f>
        <x:v>250250</x:v>
      </x:c>
      <x:c r="L11" s="61" t="n">
        <x:f>Revenue!F9</x:f>
        <x:v>256750</x:v>
      </x:c>
      <x:c r="M11" s="61" t="n">
        <x:f>Revenue!F10</x:f>
        <x:v>260000</x:v>
      </x:c>
      <x:c r="N11" s="61" t="n">
        <x:f>Revenue!F11</x:f>
        <x:v>263250</x:v>
      </x:c>
      <x:c r="O11" s="61" t="n">
        <x:f>Revenue!F12</x:f>
        <x:v>269750</x:v>
      </x:c>
      <x:c r="P11" s="61" t="n">
        <x:f>Revenue!F13</x:f>
        <x:v>273000</x:v>
      </x:c>
      <x:c r="Q11" s="61" t="n">
        <x:f>Revenue!F14</x:f>
        <x:v>279500</x:v>
      </x:c>
      <x:c r="R11" s="61" t="n">
        <x:f>Revenue!F15</x:f>
        <x:v>286000</x:v>
      </x:c>
      <x:c r="S11" s="61" t="n">
        <x:f>Revenue!F16</x:f>
        <x:v>305500</x:v>
      </x:c>
      <x:c r="T11" s="61" t="n">
        <x:f>Revenue!F17</x:f>
        <x:v>315250</x:v>
      </x:c>
      <x:c r="U11" s="61" t="n">
        <x:f>Revenue!F18</x:f>
        <x:v>356249.99999988754</x:v>
      </x:c>
      <x:c r="V11" s="61" t="n">
        <x:f>Revenue!F19</x:f>
        <x:v>360999.99999988603</x:v>
      </x:c>
      <x:c r="W11" s="61" t="n">
        <x:f>Revenue!F20</x:f>
        <x:v>365749.9999998845</x:v>
      </x:c>
      <x:c r="X11" s="61" t="n">
        <x:f>Revenue!F21</x:f>
        <x:v>375249.99999988155</x:v>
      </x:c>
      <x:c r="Y11" s="61" t="n">
        <x:f>Revenue!F22</x:f>
        <x:v>379999.9999998801</x:v>
      </x:c>
      <x:c r="Z11" s="61" t="n">
        <x:f>Revenue!F23</x:f>
        <x:v>384749.9999998785</x:v>
      </x:c>
      <x:c r="AA11" s="61" t="n">
        <x:f>Revenue!F24</x:f>
        <x:v>394249.99999987555</x:v>
      </x:c>
      <x:c r="AB11" s="61" t="n">
        <x:f>Revenue!F25</x:f>
        <x:v>398999.99999987404</x:v>
      </x:c>
      <x:c r="AC11" s="61" t="n">
        <x:f>Revenue!F26</x:f>
        <x:v>408499.999999871</x:v>
      </x:c>
      <x:c r="AD11" s="61" t="n">
        <x:f>Revenue!F27</x:f>
        <x:v>417999.999999868</x:v>
      </x:c>
      <x:c r="AE11" s="61" t="n">
        <x:f>Revenue!F28</x:f>
        <x:v>446499.999999859</x:v>
      </x:c>
      <x:c r="AF11" s="61" t="n">
        <x:f>Revenue!F29</x:f>
        <x:v>460749.99999985454</x:v>
      </x:c>
      <x:c r="AG11" s="61" t="n">
        <x:f>Revenue!F30</x:f>
        <x:v>629999.999999666</x:v>
      </x:c>
      <x:c r="AH11" s="61" t="n">
        <x:f>Revenue!F31</x:f>
        <x:v>638399.9999996616</x:v>
      </x:c>
      <x:c r="AI11" s="61" t="n">
        <x:f>Revenue!F32</x:f>
        <x:v>646799.9999996572</x:v>
      </x:c>
      <x:c r="AJ11" s="61" t="n">
        <x:f>Revenue!F33</x:f>
        <x:v>663599.9999996483</x:v>
      </x:c>
      <x:c r="AK11" s="61" t="n">
        <x:f>Revenue!F34</x:f>
        <x:v>671999.9999996438</x:v>
      </x:c>
      <x:c r="AL11" s="61" t="n">
        <x:f>Revenue!F35</x:f>
        <x:v>680399.9999996393</x:v>
      </x:c>
      <x:c r="AM11" s="61" t="n">
        <x:f>Revenue!F36</x:f>
        <x:v>697199.9999996305</x:v>
      </x:c>
      <x:c r="AN11" s="61" t="n">
        <x:f>Revenue!F37</x:f>
        <x:v>705599.9999996261</x:v>
      </x:c>
      <x:c r="AO11" s="61" t="n">
        <x:f>Revenue!F38</x:f>
        <x:v>722399.999999617</x:v>
      </x:c>
      <x:c r="AP11" s="61" t="n">
        <x:f>Revenue!F39</x:f>
        <x:v>739199.9999996081</x:v>
      </x:c>
      <x:c r="AQ11" s="61" t="n">
        <x:f>Revenue!F40</x:f>
        <x:v>789599.9999995815</x:v>
      </x:c>
      <x:c r="AR11" s="61" t="n">
        <x:f>Revenue!F41</x:f>
        <x:v>814799.9999995681</x:v>
      </x:c>
      <x:c r="AS11" s="61" t="n">
        <x:f>Revenue!F42</x:f>
        <x:v>1154999.999999703</x:v>
      </x:c>
      <x:c r="AT11" s="61" t="n">
        <x:f>Revenue!F43</x:f>
        <x:v>1170399.999999699</x:v>
      </x:c>
      <x:c r="AU11" s="61" t="n">
        <x:f>Revenue!F44</x:f>
        <x:v>1185799.999999695</x:v>
      </x:c>
      <x:c r="AV11" s="61" t="n">
        <x:f>Revenue!F45</x:f>
        <x:v>1216599.999999687</x:v>
      </x:c>
      <x:c r="AW11" s="61" t="n">
        <x:f>Revenue!F46</x:f>
        <x:v>1231999.9999996834</x:v>
      </x:c>
      <x:c r="AX11" s="61" t="n">
        <x:f>Revenue!F47</x:f>
        <x:v>1247399.9999996794</x:v>
      </x:c>
      <x:c r="AY11" s="61" t="n">
        <x:f>Revenue!F48</x:f>
        <x:v>1278199.9999996712</x:v>
      </x:c>
      <x:c r="AZ11" s="61" t="n">
        <x:f>Revenue!F49</x:f>
        <x:v>1293599.9999996673</x:v>
      </x:c>
      <x:c r="BA11" s="61" t="n">
        <x:f>Revenue!F50</x:f>
        <x:v>1324399.9999996594</x:v>
      </x:c>
      <x:c r="BB11" s="61" t="n">
        <x:f>Revenue!F51</x:f>
        <x:v>1355199.9999996515</x:v>
      </x:c>
      <x:c r="BC11" s="61" t="n">
        <x:f>Revenue!F52</x:f>
        <x:v>1447599.9999996277</x:v>
      </x:c>
      <x:c r="BD11" s="61" t="n">
        <x:f>Revenue!F53</x:f>
        <x:v>1493799.999999616</x:v>
      </x:c>
      <x:c r="BE11" s="61" t="n">
        <x:f>Revenue!F54</x:f>
        <x:v>1900500.000000036</x:v>
      </x:c>
      <x:c r="BF11" s="61" t="n">
        <x:f>Revenue!F55</x:f>
        <x:v>1925840.0000000368</x:v>
      </x:c>
      <x:c r="BG11" s="61" t="n">
        <x:f>Revenue!F56</x:f>
        <x:v>1951180.0000000373</x:v>
      </x:c>
      <x:c r="BH11" s="61" t="n">
        <x:f>Revenue!F57</x:f>
        <x:v>2001860.000000038</x:v>
      </x:c>
      <x:c r="BI11" s="61" t="n">
        <x:f>Revenue!F58</x:f>
        <x:v>2027200.0000000384</x:v>
      </x:c>
      <x:c r="BJ11" s="61" t="n">
        <x:f>Revenue!F59</x:f>
        <x:v>2052540.000000039</x:v>
      </x:c>
      <x:c r="BK11" s="61" t="n">
        <x:f>Revenue!F60</x:f>
        <x:v>2103220.00000004</x:v>
      </x:c>
      <x:c r="BL11" s="61" t="n">
        <x:f>Revenue!F61</x:f>
        <x:v>2128560.0000000405</x:v>
      </x:c>
      <x:c r="BM11" s="61" t="n">
        <x:f>Revenue!F62</x:f>
        <x:v>2179240.0000000414</x:v>
      </x:c>
      <x:c r="BN11" s="61" t="n">
        <x:f>Revenue!F63</x:f>
        <x:v>2229920.0000000424</x:v>
      </x:c>
      <x:c r="BO11" s="61" t="n">
        <x:f>Revenue!F64</x:f>
        <x:v>2381960.000000045</x:v>
      </x:c>
      <x:c r="BP11" s="61" t="n">
        <x:f>Revenue!F65</x:f>
        <x:v>2457980.0000000466</x:v>
      </x:c>
    </x:row>
    <x:row r="12">
      <x:c r="A12" s="26" t="str">
        <x:v>  Типовой маршрут</x:v>
      </x:c>
      <x:c r="B12" s="26" t="str">
        <x:v>Разовые продажи маршрута</x:v>
      </x:c>
      <x:c r="C12" s="63" t="n">
        <x:f>SUM(I12:T12)</x:f>
        <x:v>3250000</x:v>
      </x:c>
      <x:c r="D12" s="67" t="n">
        <x:f>SUM(U12:AF12)</x:f>
        <x:v>4749999.9999985015</x:v>
      </x:c>
      <x:c r="E12" s="71" t="n">
        <x:f>SUM(AG12:AR12)</x:f>
        <x:v>6999999.99999629</x:v>
      </x:c>
      <x:c r="F12" s="75" t="n">
        <x:f>SUM(AS12:BD12)</x:f>
        <x:v>8799999.999997737</x:v>
      </x:c>
      <x:c r="G12" s="79" t="n">
        <x:f>SUM(BE12:BP12)</x:f>
        <x:v>10860000.000000205</x:v>
      </x:c>
      <x:c r="H12" s="58"/>
      <x:c r="I12" s="61" t="n">
        <x:f>Revenue!G6</x:f>
        <x:v>243750</x:v>
      </x:c>
      <x:c r="J12" s="61" t="n">
        <x:f>Revenue!G7</x:f>
        <x:v>247000</x:v>
      </x:c>
      <x:c r="K12" s="61" t="n">
        <x:f>Revenue!G8</x:f>
        <x:v>250250</x:v>
      </x:c>
      <x:c r="L12" s="61" t="n">
        <x:f>Revenue!G9</x:f>
        <x:v>256750</x:v>
      </x:c>
      <x:c r="M12" s="61" t="n">
        <x:f>Revenue!G10</x:f>
        <x:v>260000</x:v>
      </x:c>
      <x:c r="N12" s="61" t="n">
        <x:f>Revenue!G11</x:f>
        <x:v>263250</x:v>
      </x:c>
      <x:c r="O12" s="61" t="n">
        <x:f>Revenue!G12</x:f>
        <x:v>269750</x:v>
      </x:c>
      <x:c r="P12" s="61" t="n">
        <x:f>Revenue!G13</x:f>
        <x:v>273000</x:v>
      </x:c>
      <x:c r="Q12" s="61" t="n">
        <x:f>Revenue!G14</x:f>
        <x:v>279500</x:v>
      </x:c>
      <x:c r="R12" s="61" t="n">
        <x:f>Revenue!G15</x:f>
        <x:v>286000</x:v>
      </x:c>
      <x:c r="S12" s="61" t="n">
        <x:f>Revenue!G16</x:f>
        <x:v>305500</x:v>
      </x:c>
      <x:c r="T12" s="61" t="n">
        <x:f>Revenue!G17</x:f>
        <x:v>315250</x:v>
      </x:c>
      <x:c r="U12" s="61" t="n">
        <x:f>Revenue!G18</x:f>
        <x:v>356249.99999988754</x:v>
      </x:c>
      <x:c r="V12" s="61" t="n">
        <x:f>Revenue!G19</x:f>
        <x:v>360999.99999988603</x:v>
      </x:c>
      <x:c r="W12" s="61" t="n">
        <x:f>Revenue!G20</x:f>
        <x:v>365749.9999998845</x:v>
      </x:c>
      <x:c r="X12" s="61" t="n">
        <x:f>Revenue!G21</x:f>
        <x:v>375249.99999988155</x:v>
      </x:c>
      <x:c r="Y12" s="61" t="n">
        <x:f>Revenue!G22</x:f>
        <x:v>379999.9999998801</x:v>
      </x:c>
      <x:c r="Z12" s="61" t="n">
        <x:f>Revenue!G23</x:f>
        <x:v>384749.9999998785</x:v>
      </x:c>
      <x:c r="AA12" s="61" t="n">
        <x:f>Revenue!G24</x:f>
        <x:v>394249.99999987555</x:v>
      </x:c>
      <x:c r="AB12" s="61" t="n">
        <x:f>Revenue!G25</x:f>
        <x:v>398999.99999987404</x:v>
      </x:c>
      <x:c r="AC12" s="61" t="n">
        <x:f>Revenue!G26</x:f>
        <x:v>408499.999999871</x:v>
      </x:c>
      <x:c r="AD12" s="61" t="n">
        <x:f>Revenue!G27</x:f>
        <x:v>417999.999999868</x:v>
      </x:c>
      <x:c r="AE12" s="61" t="n">
        <x:f>Revenue!G28</x:f>
        <x:v>446499.999999859</x:v>
      </x:c>
      <x:c r="AF12" s="61" t="n">
        <x:f>Revenue!G29</x:f>
        <x:v>460749.99999985454</x:v>
      </x:c>
      <x:c r="AG12" s="61" t="n">
        <x:f>Revenue!G30</x:f>
        <x:v>524999.9999997218</x:v>
      </x:c>
      <x:c r="AH12" s="61" t="n">
        <x:f>Revenue!G31</x:f>
        <x:v>531999.999999718</x:v>
      </x:c>
      <x:c r="AI12" s="61" t="n">
        <x:f>Revenue!G32</x:f>
        <x:v>538999.9999997143</x:v>
      </x:c>
      <x:c r="AJ12" s="61" t="n">
        <x:f>Revenue!G33</x:f>
        <x:v>552999.999999707</x:v>
      </x:c>
      <x:c r="AK12" s="61" t="n">
        <x:f>Revenue!G34</x:f>
        <x:v>559999.9999997033</x:v>
      </x:c>
      <x:c r="AL12" s="61" t="n">
        <x:f>Revenue!G35</x:f>
        <x:v>566999.9999996995</x:v>
      </x:c>
      <x:c r="AM12" s="61" t="n">
        <x:f>Revenue!G36</x:f>
        <x:v>580999.9999996921</x:v>
      </x:c>
      <x:c r="AN12" s="61" t="n">
        <x:f>Revenue!G37</x:f>
        <x:v>587999.9999996884</x:v>
      </x:c>
      <x:c r="AO12" s="61" t="n">
        <x:f>Revenue!G38</x:f>
        <x:v>601999.9999996809</x:v>
      </x:c>
      <x:c r="AP12" s="61" t="n">
        <x:f>Revenue!G39</x:f>
        <x:v>615999.9999996735</x:v>
      </x:c>
      <x:c r="AQ12" s="61" t="n">
        <x:f>Revenue!G40</x:f>
        <x:v>657999.9999996512</x:v>
      </x:c>
      <x:c r="AR12" s="61" t="n">
        <x:f>Revenue!G41</x:f>
        <x:v>678999.9999996402</x:v>
      </x:c>
      <x:c r="AS12" s="61" t="n">
        <x:f>Revenue!G42</x:f>
        <x:v>659999.9999998303</x:v>
      </x:c>
      <x:c r="AT12" s="61" t="n">
        <x:f>Revenue!G43</x:f>
        <x:v>668799.9999998279</x:v>
      </x:c>
      <x:c r="AU12" s="61" t="n">
        <x:f>Revenue!G44</x:f>
        <x:v>677599.9999998257</x:v>
      </x:c>
      <x:c r="AV12" s="61" t="n">
        <x:f>Revenue!G45</x:f>
        <x:v>695199.9999998212</x:v>
      </x:c>
      <x:c r="AW12" s="61" t="n">
        <x:f>Revenue!G46</x:f>
        <x:v>703999.999999819</x:v>
      </x:c>
      <x:c r="AX12" s="61" t="n">
        <x:f>Revenue!G47</x:f>
        <x:v>712799.9999998168</x:v>
      </x:c>
      <x:c r="AY12" s="61" t="n">
        <x:f>Revenue!G48</x:f>
        <x:v>730399.9999998121</x:v>
      </x:c>
      <x:c r="AZ12" s="61" t="n">
        <x:f>Revenue!G49</x:f>
        <x:v>739199.9999998099</x:v>
      </x:c>
      <x:c r="BA12" s="61" t="n">
        <x:f>Revenue!G50</x:f>
        <x:v>756799.9999998052</x:v>
      </x:c>
      <x:c r="BB12" s="61" t="n">
        <x:f>Revenue!G51</x:f>
        <x:v>774399.9999998008</x:v>
      </x:c>
      <x:c r="BC12" s="61" t="n">
        <x:f>Revenue!G52</x:f>
        <x:v>827199.9999997872</x:v>
      </x:c>
      <x:c r="BD12" s="61" t="n">
        <x:f>Revenue!G53</x:f>
        <x:v>853599.9999997806</x:v>
      </x:c>
      <x:c r="BE12" s="61" t="n">
        <x:f>Revenue!G54</x:f>
        <x:v>814500.0000000154</x:v>
      </x:c>
      <x:c r="BF12" s="61" t="n">
        <x:f>Revenue!G55</x:f>
        <x:v>825360.0000000156</x:v>
      </x:c>
      <x:c r="BG12" s="61" t="n">
        <x:f>Revenue!G56</x:f>
        <x:v>836220.0000000158</x:v>
      </x:c>
      <x:c r="BH12" s="61" t="n">
        <x:f>Revenue!G57</x:f>
        <x:v>857940.0000000162</x:v>
      </x:c>
      <x:c r="BI12" s="61" t="n">
        <x:f>Revenue!G58</x:f>
        <x:v>868800.0000000164</x:v>
      </x:c>
      <x:c r="BJ12" s="61" t="n">
        <x:f>Revenue!G59</x:f>
        <x:v>879660.0000000166</x:v>
      </x:c>
      <x:c r="BK12" s="61" t="n">
        <x:f>Revenue!G60</x:f>
        <x:v>901380.0000000171</x:v>
      </x:c>
      <x:c r="BL12" s="61" t="n">
        <x:f>Revenue!G61</x:f>
        <x:v>912240.0000000173</x:v>
      </x:c>
      <x:c r="BM12" s="61" t="n">
        <x:f>Revenue!G62</x:f>
        <x:v>933960.0000000176</x:v>
      </x:c>
      <x:c r="BN12" s="61" t="n">
        <x:f>Revenue!G63</x:f>
        <x:v>955680.0000000179</x:v>
      </x:c>
      <x:c r="BO12" s="61" t="n">
        <x:f>Revenue!G64</x:f>
        <x:v>1020840.0000000192</x:v>
      </x:c>
      <x:c r="BP12" s="61" t="n">
        <x:f>Revenue!G65</x:f>
        <x:v>1053420.0000000198</x:v>
      </x:c>
    </x:row>
    <x:row r="13">
      <x:c r="A13" s="26" t="str">
        <x:v>  Индивидуальная карта</x:v>
      </x:c>
      <x:c r="B13" s="26" t="str">
        <x:v>Разовые продажи карты</x:v>
      </x:c>
      <x:c r="C13" s="63" t="n">
        <x:f>SUM(I13:T13)</x:f>
        <x:v>6500000</x:v>
      </x:c>
      <x:c r="D13" s="67" t="n">
        <x:f>SUM(U13:AF13)</x:f>
        <x:v>7599999.9999976</x:v>
      </x:c>
      <x:c r="E13" s="71" t="n">
        <x:f>SUM(AG13:AR13)</x:f>
        <x:v>8399999.999995548</x:v>
      </x:c>
      <x:c r="F13" s="75" t="n">
        <x:f>SUM(AS13:BD13)</x:f>
        <x:v>8799999.999997737</x:v>
      </x:c>
      <x:c r="G13" s="79" t="n">
        <x:f>SUM(BE13:BP13)</x:f>
        <x:v>10860000.000000205</x:v>
      </x:c>
      <x:c r="H13" s="58"/>
      <x:c r="I13" s="61" t="n">
        <x:f>Revenue!H6</x:f>
        <x:v>487500</x:v>
      </x:c>
      <x:c r="J13" s="61" t="n">
        <x:f>Revenue!H7</x:f>
        <x:v>494000</x:v>
      </x:c>
      <x:c r="K13" s="61" t="n">
        <x:f>Revenue!H8</x:f>
        <x:v>500500</x:v>
      </x:c>
      <x:c r="L13" s="61" t="n">
        <x:f>Revenue!H9</x:f>
        <x:v>513500</x:v>
      </x:c>
      <x:c r="M13" s="61" t="n">
        <x:f>Revenue!H10</x:f>
        <x:v>520000</x:v>
      </x:c>
      <x:c r="N13" s="61" t="n">
        <x:f>Revenue!H11</x:f>
        <x:v>526500</x:v>
      </x:c>
      <x:c r="O13" s="61" t="n">
        <x:f>Revenue!H12</x:f>
        <x:v>539500</x:v>
      </x:c>
      <x:c r="P13" s="61" t="n">
        <x:f>Revenue!H13</x:f>
        <x:v>546000</x:v>
      </x:c>
      <x:c r="Q13" s="61" t="n">
        <x:f>Revenue!H14</x:f>
        <x:v>559000</x:v>
      </x:c>
      <x:c r="R13" s="61" t="n">
        <x:f>Revenue!H15</x:f>
        <x:v>572000</x:v>
      </x:c>
      <x:c r="S13" s="61" t="n">
        <x:f>Revenue!H16</x:f>
        <x:v>611000</x:v>
      </x:c>
      <x:c r="T13" s="61" t="n">
        <x:f>Revenue!H17</x:f>
        <x:v>630500</x:v>
      </x:c>
      <x:c r="U13" s="61" t="n">
        <x:f>Revenue!H18</x:f>
        <x:v>569999.99999982</x:v>
      </x:c>
      <x:c r="V13" s="61" t="n">
        <x:f>Revenue!H19</x:f>
        <x:v>577599.9999998176</x:v>
      </x:c>
      <x:c r="W13" s="61" t="n">
        <x:f>Revenue!H20</x:f>
        <x:v>585199.9999998152</x:v>
      </x:c>
      <x:c r="X13" s="61" t="n">
        <x:f>Revenue!H21</x:f>
        <x:v>600399.9999998105</x:v>
      </x:c>
      <x:c r="Y13" s="61" t="n">
        <x:f>Revenue!H22</x:f>
        <x:v>607999.999999808</x:v>
      </x:c>
      <x:c r="Z13" s="61" t="n">
        <x:f>Revenue!H23</x:f>
        <x:v>615599.9999998056</x:v>
      </x:c>
      <x:c r="AA13" s="61" t="n">
        <x:f>Revenue!H24</x:f>
        <x:v>630799.9999998008</x:v>
      </x:c>
      <x:c r="AB13" s="61" t="n">
        <x:f>Revenue!H25</x:f>
        <x:v>638399.9999997985</x:v>
      </x:c>
      <x:c r="AC13" s="61" t="n">
        <x:f>Revenue!H26</x:f>
        <x:v>653599.9999997936</x:v>
      </x:c>
      <x:c r="AD13" s="61" t="n">
        <x:f>Revenue!H27</x:f>
        <x:v>668799.9999997888</x:v>
      </x:c>
      <x:c r="AE13" s="61" t="n">
        <x:f>Revenue!H28</x:f>
        <x:v>714399.9999997744</x:v>
      </x:c>
      <x:c r="AF13" s="61" t="n">
        <x:f>Revenue!H29</x:f>
        <x:v>737199.9999997673</x:v>
      </x:c>
      <x:c r="AG13" s="61" t="n">
        <x:f>Revenue!H30</x:f>
        <x:v>629999.999999666</x:v>
      </x:c>
      <x:c r="AH13" s="61" t="n">
        <x:f>Revenue!H31</x:f>
        <x:v>638399.9999996616</x:v>
      </x:c>
      <x:c r="AI13" s="61" t="n">
        <x:f>Revenue!H32</x:f>
        <x:v>646799.9999996572</x:v>
      </x:c>
      <x:c r="AJ13" s="61" t="n">
        <x:f>Revenue!H33</x:f>
        <x:v>663599.9999996483</x:v>
      </x:c>
      <x:c r="AK13" s="61" t="n">
        <x:f>Revenue!H34</x:f>
        <x:v>671999.9999996438</x:v>
      </x:c>
      <x:c r="AL13" s="61" t="n">
        <x:f>Revenue!H35</x:f>
        <x:v>680399.9999996393</x:v>
      </x:c>
      <x:c r="AM13" s="61" t="n">
        <x:f>Revenue!H36</x:f>
        <x:v>697199.9999996305</x:v>
      </x:c>
      <x:c r="AN13" s="61" t="n">
        <x:f>Revenue!H37</x:f>
        <x:v>705599.9999996261</x:v>
      </x:c>
      <x:c r="AO13" s="61" t="n">
        <x:f>Revenue!H38</x:f>
        <x:v>722399.999999617</x:v>
      </x:c>
      <x:c r="AP13" s="61" t="n">
        <x:f>Revenue!H39</x:f>
        <x:v>739199.9999996081</x:v>
      </x:c>
      <x:c r="AQ13" s="61" t="n">
        <x:f>Revenue!H40</x:f>
        <x:v>789599.9999995815</x:v>
      </x:c>
      <x:c r="AR13" s="61" t="n">
        <x:f>Revenue!H41</x:f>
        <x:v>814799.9999995681</x:v>
      </x:c>
      <x:c r="AS13" s="61" t="n">
        <x:f>Revenue!H42</x:f>
        <x:v>659999.9999998303</x:v>
      </x:c>
      <x:c r="AT13" s="61" t="n">
        <x:f>Revenue!H43</x:f>
        <x:v>668799.9999998279</x:v>
      </x:c>
      <x:c r="AU13" s="61" t="n">
        <x:f>Revenue!H44</x:f>
        <x:v>677599.9999998257</x:v>
      </x:c>
      <x:c r="AV13" s="61" t="n">
        <x:f>Revenue!H45</x:f>
        <x:v>695199.9999998212</x:v>
      </x:c>
      <x:c r="AW13" s="61" t="n">
        <x:f>Revenue!H46</x:f>
        <x:v>703999.999999819</x:v>
      </x:c>
      <x:c r="AX13" s="61" t="n">
        <x:f>Revenue!H47</x:f>
        <x:v>712799.9999998168</x:v>
      </x:c>
      <x:c r="AY13" s="61" t="n">
        <x:f>Revenue!H48</x:f>
        <x:v>730399.9999998121</x:v>
      </x:c>
      <x:c r="AZ13" s="61" t="n">
        <x:f>Revenue!H49</x:f>
        <x:v>739199.9999998099</x:v>
      </x:c>
      <x:c r="BA13" s="61" t="n">
        <x:f>Revenue!H50</x:f>
        <x:v>756799.9999998052</x:v>
      </x:c>
      <x:c r="BB13" s="61" t="n">
        <x:f>Revenue!H51</x:f>
        <x:v>774399.9999998008</x:v>
      </x:c>
      <x:c r="BC13" s="61" t="n">
        <x:f>Revenue!H52</x:f>
        <x:v>827199.9999997872</x:v>
      </x:c>
      <x:c r="BD13" s="61" t="n">
        <x:f>Revenue!H53</x:f>
        <x:v>853599.9999997806</x:v>
      </x:c>
      <x:c r="BE13" s="61" t="n">
        <x:f>Revenue!H54</x:f>
        <x:v>814500.0000000154</x:v>
      </x:c>
      <x:c r="BF13" s="61" t="n">
        <x:f>Revenue!H55</x:f>
        <x:v>825360.0000000156</x:v>
      </x:c>
      <x:c r="BG13" s="61" t="n">
        <x:f>Revenue!H56</x:f>
        <x:v>836220.0000000158</x:v>
      </x:c>
      <x:c r="BH13" s="61" t="n">
        <x:f>Revenue!H57</x:f>
        <x:v>857940.0000000162</x:v>
      </x:c>
      <x:c r="BI13" s="61" t="n">
        <x:f>Revenue!H58</x:f>
        <x:v>868800.0000000164</x:v>
      </x:c>
      <x:c r="BJ13" s="61" t="n">
        <x:f>Revenue!H59</x:f>
        <x:v>879660.0000000166</x:v>
      </x:c>
      <x:c r="BK13" s="61" t="n">
        <x:f>Revenue!H60</x:f>
        <x:v>901380.0000000171</x:v>
      </x:c>
      <x:c r="BL13" s="61" t="n">
        <x:f>Revenue!H61</x:f>
        <x:v>912240.0000000173</x:v>
      </x:c>
      <x:c r="BM13" s="61" t="n">
        <x:f>Revenue!H62</x:f>
        <x:v>933960.0000000176</x:v>
      </x:c>
      <x:c r="BN13" s="61" t="n">
        <x:f>Revenue!H63</x:f>
        <x:v>955680.0000000179</x:v>
      </x:c>
      <x:c r="BO13" s="61" t="n">
        <x:f>Revenue!H64</x:f>
        <x:v>1020840.0000000192</x:v>
      </x:c>
      <x:c r="BP13" s="61" t="n">
        <x:f>Revenue!H65</x:f>
        <x:v>1053420.0000000198</x:v>
      </x:c>
    </x:row>
    <x:row r="14">
      <x:c r="A14" s="26" t="str">
        <x:v>  Сопровождение ремонта</x:v>
      </x:c>
      <x:c r="B14" s="26" t="str">
        <x:v>Управление ремонтными проектами</x:v>
      </x:c>
      <x:c r="C14" s="63" t="n">
        <x:f>SUM(I14:T14)</x:f>
        <x:v>29250000</x:v>
      </x:c>
      <x:c r="D14" s="67" t="n">
        <x:f>SUM(U14:AF14)</x:f>
        <x:v>35149999.9999889</x:v>
      </x:c>
      <x:c r="E14" s="71" t="n">
        <x:f>SUM(AG14:AR14)</x:f>
        <x:v>33599999.99998219</x:v>
      </x:c>
      <x:c r="F14" s="75" t="n">
        <x:f>SUM(AS14:BD14)</x:f>
        <x:v>26399999.999993213</x:v>
      </x:c>
      <x:c r="G14" s="79" t="n">
        <x:f>SUM(BE14:BP14)</x:f>
        <x:v>14480000.000000274</x:v>
      </x:c>
      <x:c r="H14" s="58"/>
      <x:c r="I14" s="61" t="n">
        <x:f>Revenue!I6</x:f>
        <x:v>2193750</x:v>
      </x:c>
      <x:c r="J14" s="61" t="n">
        <x:f>Revenue!I7</x:f>
        <x:v>2223000</x:v>
      </x:c>
      <x:c r="K14" s="61" t="n">
        <x:f>Revenue!I8</x:f>
        <x:v>2252250</x:v>
      </x:c>
      <x:c r="L14" s="61" t="n">
        <x:f>Revenue!I9</x:f>
        <x:v>2310750</x:v>
      </x:c>
      <x:c r="M14" s="61" t="n">
        <x:f>Revenue!I10</x:f>
        <x:v>2340000</x:v>
      </x:c>
      <x:c r="N14" s="61" t="n">
        <x:f>Revenue!I11</x:f>
        <x:v>2369250</x:v>
      </x:c>
      <x:c r="O14" s="61" t="n">
        <x:f>Revenue!I12</x:f>
        <x:v>2427750</x:v>
      </x:c>
      <x:c r="P14" s="61" t="n">
        <x:f>Revenue!I13</x:f>
        <x:v>2457000</x:v>
      </x:c>
      <x:c r="Q14" s="61" t="n">
        <x:f>Revenue!I14</x:f>
        <x:v>2515500</x:v>
      </x:c>
      <x:c r="R14" s="61" t="n">
        <x:f>Revenue!I15</x:f>
        <x:v>2574000</x:v>
      </x:c>
      <x:c r="S14" s="61" t="n">
        <x:f>Revenue!I16</x:f>
        <x:v>2749500</x:v>
      </x:c>
      <x:c r="T14" s="61" t="n">
        <x:f>Revenue!I17</x:f>
        <x:v>2837250</x:v>
      </x:c>
      <x:c r="U14" s="61" t="n">
        <x:f>Revenue!I18</x:f>
        <x:v>2636249.9999991674</x:v>
      </x:c>
      <x:c r="V14" s="61" t="n">
        <x:f>Revenue!I19</x:f>
        <x:v>2671399.999999156</x:v>
      </x:c>
      <x:c r="W14" s="61" t="n">
        <x:f>Revenue!I20</x:f>
        <x:v>2706549.9999991455</x:v>
      </x:c>
      <x:c r="X14" s="61" t="n">
        <x:f>Revenue!I21</x:f>
        <x:v>2776849.999999123</x:v>
      </x:c>
      <x:c r="Y14" s="61" t="n">
        <x:f>Revenue!I22</x:f>
        <x:v>2811999.9999991124</x:v>
      </x:c>
      <x:c r="Z14" s="61" t="n">
        <x:f>Revenue!I23</x:f>
        <x:v>2847149.999999101</x:v>
      </x:c>
      <x:c r="AA14" s="61" t="n">
        <x:f>Revenue!I24</x:f>
        <x:v>2917449.999999079</x:v>
      </x:c>
      <x:c r="AB14" s="61" t="n">
        <x:f>Revenue!I25</x:f>
        <x:v>2952599.9999990677</x:v>
      </x:c>
      <x:c r="AC14" s="61" t="n">
        <x:f>Revenue!I26</x:f>
        <x:v>3022899.999999045</x:v>
      </x:c>
      <x:c r="AD14" s="61" t="n">
        <x:f>Revenue!I27</x:f>
        <x:v>3093199.999999023</x:v>
      </x:c>
      <x:c r="AE14" s="61" t="n">
        <x:f>Revenue!I28</x:f>
        <x:v>3304099.9999989565</x:v>
      </x:c>
      <x:c r="AF14" s="61" t="n">
        <x:f>Revenue!I29</x:f>
        <x:v>3409549.9999989234</x:v>
      </x:c>
      <x:c r="AG14" s="61" t="n">
        <x:f>Revenue!I30</x:f>
        <x:v>2519999.999998664</x:v>
      </x:c>
      <x:c r="AH14" s="61" t="n">
        <x:f>Revenue!I31</x:f>
        <x:v>2553599.9999986463</x:v>
      </x:c>
      <x:c r="AI14" s="61" t="n">
        <x:f>Revenue!I32</x:f>
        <x:v>2587199.9999986286</x:v>
      </x:c>
      <x:c r="AJ14" s="61" t="n">
        <x:f>Revenue!I33</x:f>
        <x:v>2654399.9999985932</x:v>
      </x:c>
      <x:c r="AK14" s="61" t="n">
        <x:f>Revenue!I34</x:f>
        <x:v>2687999.999998575</x:v>
      </x:c>
      <x:c r="AL14" s="61" t="n">
        <x:f>Revenue!I35</x:f>
        <x:v>2721599.9999985574</x:v>
      </x:c>
      <x:c r="AM14" s="61" t="n">
        <x:f>Revenue!I36</x:f>
        <x:v>2788799.999998522</x:v>
      </x:c>
      <x:c r="AN14" s="61" t="n">
        <x:f>Revenue!I37</x:f>
        <x:v>2822399.9999985043</x:v>
      </x:c>
      <x:c r="AO14" s="61" t="n">
        <x:f>Revenue!I38</x:f>
        <x:v>2889599.999998468</x:v>
      </x:c>
      <x:c r="AP14" s="61" t="n">
        <x:f>Revenue!I39</x:f>
        <x:v>2956799.9999984326</x:v>
      </x:c>
      <x:c r="AQ14" s="61" t="n">
        <x:f>Revenue!I40</x:f>
        <x:v>3158399.999998326</x:v>
      </x:c>
      <x:c r="AR14" s="61" t="n">
        <x:f>Revenue!I41</x:f>
        <x:v>3259199.9999982724</x:v>
      </x:c>
      <x:c r="AS14" s="61" t="n">
        <x:f>Revenue!I42</x:f>
        <x:v>1979999.9999994906</x:v>
      </x:c>
      <x:c r="AT14" s="61" t="n">
        <x:f>Revenue!I43</x:f>
        <x:v>2006399.9999994838</x:v>
      </x:c>
      <x:c r="AU14" s="61" t="n">
        <x:f>Revenue!I44</x:f>
        <x:v>2032799.9999994768</x:v>
      </x:c>
      <x:c r="AV14" s="61" t="n">
        <x:f>Revenue!I45</x:f>
        <x:v>2085599.9999994636</x:v>
      </x:c>
      <x:c r="AW14" s="61" t="n">
        <x:f>Revenue!I46</x:f>
        <x:v>2111999.9999994566</x:v>
      </x:c>
      <x:c r="AX14" s="61" t="n">
        <x:f>Revenue!I47</x:f>
        <x:v>2138399.99999945</x:v>
      </x:c>
      <x:c r="AY14" s="61" t="n">
        <x:f>Revenue!I48</x:f>
        <x:v>2191199.999999436</x:v>
      </x:c>
      <x:c r="AZ14" s="61" t="n">
        <x:f>Revenue!I49</x:f>
        <x:v>2217599.9999994296</x:v>
      </x:c>
      <x:c r="BA14" s="61" t="n">
        <x:f>Revenue!I50</x:f>
        <x:v>2270399.9999994156</x:v>
      </x:c>
      <x:c r="BB14" s="61" t="n">
        <x:f>Revenue!I51</x:f>
        <x:v>2323199.999999402</x:v>
      </x:c>
      <x:c r="BC14" s="61" t="n">
        <x:f>Revenue!I52</x:f>
        <x:v>2481599.9999993616</x:v>
      </x:c>
      <x:c r="BD14" s="61" t="n">
        <x:f>Revenue!I53</x:f>
        <x:v>2560799.9999993416</x:v>
      </x:c>
      <x:c r="BE14" s="61" t="n">
        <x:f>Revenue!I54</x:f>
        <x:v>1086000.0000000205</x:v>
      </x:c>
      <x:c r="BF14" s="61" t="n">
        <x:f>Revenue!I55</x:f>
        <x:v>1100480.000000021</x:v>
      </x:c>
      <x:c r="BG14" s="61" t="n">
        <x:f>Revenue!I56</x:f>
        <x:v>1114960.0000000212</x:v>
      </x:c>
      <x:c r="BH14" s="61" t="n">
        <x:f>Revenue!I57</x:f>
        <x:v>1143920.0000000217</x:v>
      </x:c>
      <x:c r="BI14" s="61" t="n">
        <x:f>Revenue!I58</x:f>
        <x:v>1158400.000000022</x:v>
      </x:c>
      <x:c r="BJ14" s="61" t="n">
        <x:f>Revenue!I59</x:f>
        <x:v>1172880.0000000221</x:v>
      </x:c>
      <x:c r="BK14" s="61" t="n">
        <x:f>Revenue!I60</x:f>
        <x:v>1201840.0000000228</x:v>
      </x:c>
      <x:c r="BL14" s="61" t="n">
        <x:f>Revenue!I61</x:f>
        <x:v>1216320.000000023</x:v>
      </x:c>
      <x:c r="BM14" s="61" t="n">
        <x:f>Revenue!I62</x:f>
        <x:v>1245280.0000000235</x:v>
      </x:c>
      <x:c r="BN14" s="61" t="n">
        <x:f>Revenue!I63</x:f>
        <x:v>1274240.000000024</x:v>
      </x:c>
      <x:c r="BO14" s="61" t="n">
        <x:f>Revenue!I64</x:f>
        <x:v>1361120.0000000256</x:v>
      </x:c>
      <x:c r="BP14" s="61" t="n">
        <x:f>Revenue!I65</x:f>
        <x:v>1404560.0000000265</x:v>
      </x:c>
    </x:row>
    <x:row r="15">
      <x:c r="A15" s="26" t="str">
        <x:v>  Обучение</x:v>
      </x:c>
      <x:c r="B15" s="26" t="str">
        <x:v>Школа руководителей и ассистентов</x:v>
      </x:c>
      <x:c r="C15" s="63" t="n">
        <x:f>SUM(I15:T15)</x:f>
        <x:v>3250000</x:v>
      </x:c>
      <x:c r="D15" s="67" t="n">
        <x:f>SUM(U15:AF15)</x:f>
        <x:v>4749999.9999985015</x:v>
      </x:c>
      <x:c r="E15" s="71" t="n">
        <x:f>SUM(AG15:AR15)</x:f>
        <x:v>6999999.99999629</x:v>
      </x:c>
      <x:c r="F15" s="75" t="n">
        <x:f>SUM(AS15:BD15)</x:f>
        <x:v>10999999.99999717</x:v>
      </x:c>
      <x:c r="G15" s="79" t="n">
        <x:f>SUM(BE15:BP15)</x:f>
        <x:v>10860000.000000205</x:v>
      </x:c>
      <x:c r="H15" s="58"/>
      <x:c r="I15" s="61" t="n">
        <x:f>Revenue!J6</x:f>
        <x:v>243750</x:v>
      </x:c>
      <x:c r="J15" s="61" t="n">
        <x:f>Revenue!J7</x:f>
        <x:v>247000</x:v>
      </x:c>
      <x:c r="K15" s="61" t="n">
        <x:f>Revenue!J8</x:f>
        <x:v>250250</x:v>
      </x:c>
      <x:c r="L15" s="61" t="n">
        <x:f>Revenue!J9</x:f>
        <x:v>256750</x:v>
      </x:c>
      <x:c r="M15" s="61" t="n">
        <x:f>Revenue!J10</x:f>
        <x:v>260000</x:v>
      </x:c>
      <x:c r="N15" s="61" t="n">
        <x:f>Revenue!J11</x:f>
        <x:v>263250</x:v>
      </x:c>
      <x:c r="O15" s="61" t="n">
        <x:f>Revenue!J12</x:f>
        <x:v>269750</x:v>
      </x:c>
      <x:c r="P15" s="61" t="n">
        <x:f>Revenue!J13</x:f>
        <x:v>273000</x:v>
      </x:c>
      <x:c r="Q15" s="61" t="n">
        <x:f>Revenue!J14</x:f>
        <x:v>279500</x:v>
      </x:c>
      <x:c r="R15" s="61" t="n">
        <x:f>Revenue!J15</x:f>
        <x:v>286000</x:v>
      </x:c>
      <x:c r="S15" s="61" t="n">
        <x:f>Revenue!J16</x:f>
        <x:v>305500</x:v>
      </x:c>
      <x:c r="T15" s="61" t="n">
        <x:f>Revenue!J17</x:f>
        <x:v>315250</x:v>
      </x:c>
      <x:c r="U15" s="61" t="n">
        <x:f>Revenue!J18</x:f>
        <x:v>356249.99999988754</x:v>
      </x:c>
      <x:c r="V15" s="61" t="n">
        <x:f>Revenue!J19</x:f>
        <x:v>360999.99999988603</x:v>
      </x:c>
      <x:c r="W15" s="61" t="n">
        <x:f>Revenue!J20</x:f>
        <x:v>365749.9999998845</x:v>
      </x:c>
      <x:c r="X15" s="61" t="n">
        <x:f>Revenue!J21</x:f>
        <x:v>375249.99999988155</x:v>
      </x:c>
      <x:c r="Y15" s="61" t="n">
        <x:f>Revenue!J22</x:f>
        <x:v>379999.9999998801</x:v>
      </x:c>
      <x:c r="Z15" s="61" t="n">
        <x:f>Revenue!J23</x:f>
        <x:v>384749.9999998785</x:v>
      </x:c>
      <x:c r="AA15" s="61" t="n">
        <x:f>Revenue!J24</x:f>
        <x:v>394249.99999987555</x:v>
      </x:c>
      <x:c r="AB15" s="61" t="n">
        <x:f>Revenue!J25</x:f>
        <x:v>398999.99999987404</x:v>
      </x:c>
      <x:c r="AC15" s="61" t="n">
        <x:f>Revenue!J26</x:f>
        <x:v>408499.999999871</x:v>
      </x:c>
      <x:c r="AD15" s="61" t="n">
        <x:f>Revenue!J27</x:f>
        <x:v>417999.999999868</x:v>
      </x:c>
      <x:c r="AE15" s="61" t="n">
        <x:f>Revenue!J28</x:f>
        <x:v>446499.999999859</x:v>
      </x:c>
      <x:c r="AF15" s="61" t="n">
        <x:f>Revenue!J29</x:f>
        <x:v>460749.99999985454</x:v>
      </x:c>
      <x:c r="AG15" s="61" t="n">
        <x:f>Revenue!J30</x:f>
        <x:v>524999.9999997218</x:v>
      </x:c>
      <x:c r="AH15" s="61" t="n">
        <x:f>Revenue!J31</x:f>
        <x:v>531999.999999718</x:v>
      </x:c>
      <x:c r="AI15" s="61" t="n">
        <x:f>Revenue!J32</x:f>
        <x:v>538999.9999997143</x:v>
      </x:c>
      <x:c r="AJ15" s="61" t="n">
        <x:f>Revenue!J33</x:f>
        <x:v>552999.999999707</x:v>
      </x:c>
      <x:c r="AK15" s="61" t="n">
        <x:f>Revenue!J34</x:f>
        <x:v>559999.9999997033</x:v>
      </x:c>
      <x:c r="AL15" s="61" t="n">
        <x:f>Revenue!J35</x:f>
        <x:v>566999.9999996995</x:v>
      </x:c>
      <x:c r="AM15" s="61" t="n">
        <x:f>Revenue!J36</x:f>
        <x:v>580999.9999996921</x:v>
      </x:c>
      <x:c r="AN15" s="61" t="n">
        <x:f>Revenue!J37</x:f>
        <x:v>587999.9999996884</x:v>
      </x:c>
      <x:c r="AO15" s="61" t="n">
        <x:f>Revenue!J38</x:f>
        <x:v>601999.9999996809</x:v>
      </x:c>
      <x:c r="AP15" s="61" t="n">
        <x:f>Revenue!J39</x:f>
        <x:v>615999.9999996735</x:v>
      </x:c>
      <x:c r="AQ15" s="61" t="n">
        <x:f>Revenue!J40</x:f>
        <x:v>657999.9999996512</x:v>
      </x:c>
      <x:c r="AR15" s="61" t="n">
        <x:f>Revenue!J41</x:f>
        <x:v>678999.9999996402</x:v>
      </x:c>
      <x:c r="AS15" s="61" t="n">
        <x:f>Revenue!J42</x:f>
        <x:v>824999.9999997878</x:v>
      </x:c>
      <x:c r="AT15" s="61" t="n">
        <x:f>Revenue!J43</x:f>
        <x:v>835999.999999785</x:v>
      </x:c>
      <x:c r="AU15" s="61" t="n">
        <x:f>Revenue!J44</x:f>
        <x:v>846999.9999997821</x:v>
      </x:c>
      <x:c r="AV15" s="61" t="n">
        <x:f>Revenue!J45</x:f>
        <x:v>868999.9999997765</x:v>
      </x:c>
      <x:c r="AW15" s="61" t="n">
        <x:f>Revenue!J46</x:f>
        <x:v>879999.9999997737</x:v>
      </x:c>
      <x:c r="AX15" s="61" t="n">
        <x:f>Revenue!J47</x:f>
        <x:v>890999.9999997709</x:v>
      </x:c>
      <x:c r="AY15" s="61" t="n">
        <x:f>Revenue!J48</x:f>
        <x:v>912999.9999997652</x:v>
      </x:c>
      <x:c r="AZ15" s="61" t="n">
        <x:f>Revenue!J49</x:f>
        <x:v>923999.9999997624</x:v>
      </x:c>
      <x:c r="BA15" s="61" t="n">
        <x:f>Revenue!J50</x:f>
        <x:v>945999.9999997566</x:v>
      </x:c>
      <x:c r="BB15" s="61" t="n">
        <x:f>Revenue!J51</x:f>
        <x:v>967999.999999751</x:v>
      </x:c>
      <x:c r="BC15" s="61" t="n">
        <x:f>Revenue!J52</x:f>
        <x:v>1033999.9999997341</x:v>
      </x:c>
      <x:c r="BD15" s="61" t="n">
        <x:f>Revenue!J53</x:f>
        <x:v>1066999.9999997257</x:v>
      </x:c>
      <x:c r="BE15" s="61" t="n">
        <x:f>Revenue!J54</x:f>
        <x:v>814500.0000000154</x:v>
      </x:c>
      <x:c r="BF15" s="61" t="n">
        <x:f>Revenue!J55</x:f>
        <x:v>825360.0000000156</x:v>
      </x:c>
      <x:c r="BG15" s="61" t="n">
        <x:f>Revenue!J56</x:f>
        <x:v>836220.0000000158</x:v>
      </x:c>
      <x:c r="BH15" s="61" t="n">
        <x:f>Revenue!J57</x:f>
        <x:v>857940.0000000162</x:v>
      </x:c>
      <x:c r="BI15" s="61" t="n">
        <x:f>Revenue!J58</x:f>
        <x:v>868800.0000000164</x:v>
      </x:c>
      <x:c r="BJ15" s="61" t="n">
        <x:f>Revenue!J59</x:f>
        <x:v>879660.0000000166</x:v>
      </x:c>
      <x:c r="BK15" s="61" t="n">
        <x:f>Revenue!J60</x:f>
        <x:v>901380.0000000171</x:v>
      </x:c>
      <x:c r="BL15" s="61" t="n">
        <x:f>Revenue!J61</x:f>
        <x:v>912240.0000000173</x:v>
      </x:c>
      <x:c r="BM15" s="61" t="n">
        <x:f>Revenue!J62</x:f>
        <x:v>933960.0000000176</x:v>
      </x:c>
      <x:c r="BN15" s="61" t="n">
        <x:f>Revenue!J63</x:f>
        <x:v>955680.0000000179</x:v>
      </x:c>
      <x:c r="BO15" s="61" t="n">
        <x:f>Revenue!J64</x:f>
        <x:v>1020840.0000000192</x:v>
      </x:c>
      <x:c r="BP15" s="61" t="n">
        <x:f>Revenue!J65</x:f>
        <x:v>1053420.0000000198</x:v>
      </x:c>
    </x:row>
    <x:row r="16">
      <x:c r="A16" s="26"/>
      <x:c r="B16" s="26"/>
      <x:c r="C16" s="63"/>
      <x:c r="D16" s="67"/>
      <x:c r="E16" s="71"/>
      <x:c r="F16" s="75"/>
      <x:c r="G16" s="79"/>
      <x:c r="H16" s="58"/>
      <x:c r="I16" s="58"/>
      <x:c r="J16" s="58"/>
      <x:c r="K16" s="58"/>
      <x:c r="L16" s="58"/>
      <x:c r="M16" s="58"/>
      <x:c r="N16" s="58"/>
      <x:c r="O16" s="58"/>
      <x:c r="P16" s="58"/>
      <x:c r="Q16" s="58"/>
      <x:c r="R16" s="58"/>
      <x:c r="S16" s="58"/>
      <x:c r="T16" s="58"/>
      <x:c r="U16" s="58"/>
      <x:c r="V16" s="58"/>
      <x:c r="W16" s="58"/>
      <x:c r="X16" s="58"/>
      <x:c r="Y16" s="58"/>
      <x:c r="Z16" s="58"/>
      <x:c r="AA16" s="58"/>
      <x:c r="AB16" s="58"/>
      <x:c r="AC16" s="58"/>
      <x:c r="AD16" s="58"/>
      <x:c r="AE16" s="58"/>
      <x:c r="AF16" s="58"/>
      <x:c r="AG16" s="58"/>
      <x:c r="AH16" s="58"/>
      <x:c r="AI16" s="58"/>
      <x:c r="AJ16" s="58"/>
      <x:c r="AK16" s="58"/>
      <x:c r="AL16" s="58"/>
      <x:c r="AM16" s="58"/>
      <x:c r="AN16" s="58"/>
      <x:c r="AO16" s="58"/>
      <x:c r="AP16" s="58"/>
      <x:c r="AQ16" s="58"/>
      <x:c r="AR16" s="58"/>
      <x:c r="AS16" s="58"/>
      <x:c r="AT16" s="58"/>
      <x:c r="AU16" s="58"/>
      <x:c r="AV16" s="58"/>
      <x:c r="AW16" s="58"/>
      <x:c r="AX16" s="58"/>
      <x:c r="AY16" s="58"/>
      <x:c r="AZ16" s="58"/>
      <x:c r="BA16" s="58"/>
      <x:c r="BB16" s="58"/>
      <x:c r="BC16" s="58"/>
      <x:c r="BD16" s="58"/>
      <x:c r="BE16" s="58"/>
      <x:c r="BF16" s="58"/>
      <x:c r="BG16" s="58"/>
      <x:c r="BH16" s="58"/>
      <x:c r="BI16" s="58"/>
      <x:c r="BJ16" s="58"/>
      <x:c r="BK16" s="58"/>
      <x:c r="BL16" s="58"/>
      <x:c r="BM16" s="58"/>
      <x:c r="BN16" s="58"/>
      <x:c r="BO16" s="58"/>
      <x:c r="BP16" s="58"/>
    </x:row>
    <x:row r="17">
      <x:c r="A17" s="114" t="str">
        <x:v>ПРЯМЫЕ ЗАТРАТЫ</x:v>
      </x:c>
      <x:c r="B17" s="114" t="str">
        <x:v>Переменные расходы, которые возникают вместе с продажей</x:v>
      </x:c>
      <x:c r="C17" s="119" t="n">
        <x:f>SUM(I17:T17)</x:f>
        <x:v>-20410000</x:v>
      </x:c>
      <x:c r="D17" s="122" t="n">
        <x:f>SUM(U17:AF17)</x:f>
        <x:v>-28642499.999990955</x:v>
      </x:c>
      <x:c r="E17" s="124" t="n">
        <x:f>SUM(AG17:AR17)</x:f>
        <x:v>-39619999.999979004</x:v>
      </x:c>
      <x:c r="F17" s="127" t="n">
        <x:f>SUM(AS17:BD17)</x:f>
        <x:v>-58629999.99998492</x:v>
      </x:c>
      <x:c r="G17" s="130" t="n">
        <x:f>SUM(BE17:BP17)</x:f>
        <x:v>-90681000.00000171</x:v>
      </x:c>
      <x:c r="H17" s="116"/>
      <x:c r="I17" s="116" t="n">
        <x:f>SUM(I18:I23)</x:f>
        <x:v>-1530750</x:v>
      </x:c>
      <x:c r="J17" s="116" t="n">
        <x:f>SUM(J18:J23)</x:f>
        <x:v>-1551160</x:v>
      </x:c>
      <x:c r="K17" s="116" t="n">
        <x:f>SUM(K18:K23)</x:f>
        <x:v>-1571570</x:v>
      </x:c>
      <x:c r="L17" s="116" t="n">
        <x:f>SUM(L18:L23)</x:f>
        <x:v>-1612390</x:v>
      </x:c>
      <x:c r="M17" s="116" t="n">
        <x:f>SUM(M18:M23)</x:f>
        <x:v>-1632800</x:v>
      </x:c>
      <x:c r="N17" s="116" t="n">
        <x:f>SUM(N18:N23)</x:f>
        <x:v>-1653210</x:v>
      </x:c>
      <x:c r="O17" s="116" t="n">
        <x:f>SUM(O18:O23)</x:f>
        <x:v>-1694030</x:v>
      </x:c>
      <x:c r="P17" s="116" t="n">
        <x:f>SUM(P18:P23)</x:f>
        <x:v>-1714440</x:v>
      </x:c>
      <x:c r="Q17" s="116" t="n">
        <x:f>SUM(Q18:Q23)</x:f>
        <x:v>-1755260</x:v>
      </x:c>
      <x:c r="R17" s="116" t="n">
        <x:f>SUM(R18:R23)</x:f>
        <x:v>-1796080</x:v>
      </x:c>
      <x:c r="S17" s="116" t="n">
        <x:f>SUM(S18:S23)</x:f>
        <x:v>-1918540</x:v>
      </x:c>
      <x:c r="T17" s="116" t="n">
        <x:f>SUM(T18:T23)</x:f>
        <x:v>-1979770</x:v>
      </x:c>
      <x:c r="U17" s="116" t="n">
        <x:f>SUM(U18:U23)</x:f>
        <x:v>-2148187.4999993215</x:v>
      </x:c>
      <x:c r="V17" s="116" t="n">
        <x:f>SUM(V18:V23)</x:f>
        <x:v>-2176829.9999993127</x:v>
      </x:c>
      <x:c r="W17" s="116" t="n">
        <x:f>SUM(W18:W23)</x:f>
        <x:v>-2205472.4999993034</x:v>
      </x:c>
      <x:c r="X17" s="116" t="n">
        <x:f>SUM(X18:X23)</x:f>
        <x:v>-2262757.499999285</x:v>
      </x:c>
      <x:c r="Y17" s="116" t="n">
        <x:f>SUM(Y18:Y23)</x:f>
        <x:v>-2291399.999999277</x:v>
      </x:c>
      <x:c r="Z17" s="116" t="n">
        <x:f>SUM(Z18:Z23)</x:f>
        <x:v>-2320042.4999992675</x:v>
      </x:c>
      <x:c r="AA17" s="116" t="n">
        <x:f>SUM(AA18:AA23)</x:f>
        <x:v>-2377327.499999249</x:v>
      </x:c>
      <x:c r="AB17" s="116" t="n">
        <x:f>SUM(AB18:AB23)</x:f>
        <x:v>-2405969.9999992405</x:v>
      </x:c>
      <x:c r="AC17" s="116" t="n">
        <x:f>SUM(AC18:AC23)</x:f>
        <x:v>-2463254.999999222</x:v>
      </x:c>
      <x:c r="AD17" s="116" t="n">
        <x:f>SUM(AD18:AD23)</x:f>
        <x:v>-2520539.999999204</x:v>
      </x:c>
      <x:c r="AE17" s="116" t="n">
        <x:f>SUM(AE18:AE23)</x:f>
        <x:v>-2692394.9999991497</x:v>
      </x:c>
      <x:c r="AF17" s="116" t="n">
        <x:f>SUM(AF18:AF23)</x:f>
        <x:v>-2778322.4999991227</x:v>
      </x:c>
      <x:c r="AG17" s="116" t="n">
        <x:f>SUM(AG18:AG23)</x:f>
        <x:v>-2971499.999998425</x:v>
      </x:c>
      <x:c r="AH17" s="116" t="n">
        <x:f>SUM(AH18:AH23)</x:f>
        <x:v>-3011119.999998404</x:v>
      </x:c>
      <x:c r="AI17" s="116" t="n">
        <x:f>SUM(AI18:AI23)</x:f>
        <x:v>-3050739.999998383</x:v>
      </x:c>
      <x:c r="AJ17" s="116" t="n">
        <x:f>SUM(AJ18:AJ23)</x:f>
        <x:v>-3129979.9999983413</x:v>
      </x:c>
      <x:c r="AK17" s="116" t="n">
        <x:f>SUM(AK18:AK23)</x:f>
        <x:v>-3169599.99999832</x:v>
      </x:c>
      <x:c r="AL17" s="116" t="n">
        <x:f>SUM(AL18:AL23)</x:f>
        <x:v>-3209219.999998299</x:v>
      </x:c>
      <x:c r="AM17" s="116" t="n">
        <x:f>SUM(AM18:AM23)</x:f>
        <x:v>-3288459.999998257</x:v>
      </x:c>
      <x:c r="AN17" s="116" t="n">
        <x:f>SUM(AN18:AN23)</x:f>
        <x:v>-3328079.9999982365</x:v>
      </x:c>
      <x:c r="AO17" s="116" t="n">
        <x:f>SUM(AO18:AO23)</x:f>
        <x:v>-3407319.9999981932</x:v>
      </x:c>
      <x:c r="AP17" s="116" t="n">
        <x:f>SUM(AP18:AP23)</x:f>
        <x:v>-3486559.999998152</x:v>
      </x:c>
      <x:c r="AQ17" s="116" t="n">
        <x:f>SUM(AQ18:AQ23)</x:f>
        <x:v>-3724279.999998025</x:v>
      </x:c>
      <x:c r="AR17" s="116" t="n">
        <x:f>SUM(AR18:AR23)</x:f>
        <x:v>-3843139.9999979627</x:v>
      </x:c>
      <x:c r="AS17" s="116" t="n">
        <x:f>SUM(AS18:AS23)</x:f>
        <x:v>-4397249.999998868</x:v>
      </x:c>
      <x:c r="AT17" s="116" t="n">
        <x:f>SUM(AT18:AT23)</x:f>
        <x:v>-4455879.999998854</x:v>
      </x:c>
      <x:c r="AU17" s="116" t="n">
        <x:f>SUM(AU18:AU23)</x:f>
        <x:v>-4514509.999998838</x:v>
      </x:c>
      <x:c r="AV17" s="116" t="n">
        <x:f>SUM(AV18:AV23)</x:f>
        <x:v>-4631769.999998809</x:v>
      </x:c>
      <x:c r="AW17" s="116" t="n">
        <x:f>SUM(AW18:AW23)</x:f>
        <x:v>-4690399.999998794</x:v>
      </x:c>
      <x:c r="AX17" s="116" t="n">
        <x:f>SUM(AX18:AX23)</x:f>
        <x:v>-4749029.999998778</x:v>
      </x:c>
      <x:c r="AY17" s="116" t="n">
        <x:f>SUM(AY18:AY23)</x:f>
        <x:v>-4866289.999998748</x:v>
      </x:c>
      <x:c r="AZ17" s="116" t="n">
        <x:f>SUM(AZ18:AZ23)</x:f>
        <x:v>-4924919.9999987325</x:v>
      </x:c>
      <x:c r="BA17" s="116" t="n">
        <x:f>SUM(BA18:BA23)</x:f>
        <x:v>-5042179.999998703</x:v>
      </x:c>
      <x:c r="BB17" s="116" t="n">
        <x:f>SUM(BB18:BB23)</x:f>
        <x:v>-5159439.999998672</x:v>
      </x:c>
      <x:c r="BC17" s="116" t="n">
        <x:f>SUM(BC18:BC23)</x:f>
        <x:v>-5511219.9999985825</x:v>
      </x:c>
      <x:c r="BD17" s="116" t="n">
        <x:f>SUM(BD18:BD23)</x:f>
        <x:v>-5687109.999998538</x:v>
      </x:c>
      <x:c r="BE17" s="116" t="n">
        <x:f>SUM(BE18:BE23)</x:f>
        <x:v>-6801075.0000001285</x:v>
      </x:c>
      <x:c r="BF17" s="116" t="n">
        <x:f>SUM(BF18:BF23)</x:f>
        <x:v>-6891756.00000013</x:v>
      </x:c>
      <x:c r="BG17" s="116" t="n">
        <x:f>SUM(BG18:BG23)</x:f>
        <x:v>-6982437.000000132</x:v>
      </x:c>
      <x:c r="BH17" s="116" t="n">
        <x:f>SUM(BH18:BH23)</x:f>
        <x:v>-7163799.000000135</x:v>
      </x:c>
      <x:c r="BI17" s="116" t="n">
        <x:f>SUM(BI18:BI23)</x:f>
        <x:v>-7254480.000000136</x:v>
      </x:c>
      <x:c r="BJ17" s="116" t="n">
        <x:f>SUM(BJ18:BJ23)</x:f>
        <x:v>-7345161.000000138</x:v>
      </x:c>
      <x:c r="BK17" s="116" t="n">
        <x:f>SUM(BK18:BK23)</x:f>
        <x:v>-7526523.000000143</x:v>
      </x:c>
      <x:c r="BL17" s="116" t="n">
        <x:f>SUM(BL18:BL23)</x:f>
        <x:v>-7617204.000000145</x:v>
      </x:c>
      <x:c r="BM17" s="116" t="n">
        <x:f>SUM(BM18:BM23)</x:f>
        <x:v>-7798566.000000148</x:v>
      </x:c>
      <x:c r="BN17" s="116" t="n">
        <x:f>SUM(BN18:BN23)</x:f>
        <x:v>-7979928.000000152</x:v>
      </x:c>
      <x:c r="BO17" s="116" t="n">
        <x:f>SUM(BO18:BO23)</x:f>
        <x:v>-8524014.000000162</x:v>
      </x:c>
      <x:c r="BP17" s="116" t="n">
        <x:f>SUM(BP18:BP23)</x:f>
        <x:v>-8796057.000000166</x:v>
      </x:c>
    </x:row>
    <x:row r="18">
      <x:c r="A18" s="26" t="str">
        <x:v>  Цифровые продукты</x:v>
      </x:c>
      <x:c r="B18" s="26" t="str">
        <x:v>Себестоимость Light и типового маршрута</x:v>
      </x:c>
      <x:c r="C18" s="63" t="n">
        <x:f>SUM(I18:T18)</x:f>
        <x:v>-1950000</x:v>
      </x:c>
      <x:c r="D18" s="67" t="n">
        <x:f>SUM(U18:AF18)</x:f>
        <x:v>-3847499.999998785</x:v>
      </x:c>
      <x:c r="E18" s="71" t="n">
        <x:f>SUM(AG18:AR18)</x:f>
        <x:v>-7769999.999995883</x:v>
      </x:c>
      <x:c r="F18" s="75" t="n">
        <x:f>SUM(AS18:BD18)</x:f>
        <x:v>-15179999.999996096</x:v>
      </x:c>
      <x:c r="G18" s="79" t="n">
        <x:f>SUM(BE18:BP18)</x:f>
        <x:v>-29865000.000000563</x:v>
      </x:c>
      <x:c r="H18" s="58"/>
      <x:c r="I18" s="58" t="n">
        <x:f>-(I8+I12)*Assumptions!$C$21</x:f>
        <x:v>-146250</x:v>
      </x:c>
      <x:c r="J18" s="58" t="n">
        <x:f>-(J8+J12)*Assumptions!$C$21</x:f>
        <x:v>-148200</x:v>
      </x:c>
      <x:c r="K18" s="58" t="n">
        <x:f>-(K8+K12)*Assumptions!$C$21</x:f>
        <x:v>-150150</x:v>
      </x:c>
      <x:c r="L18" s="58" t="n">
        <x:f>-(L8+L12)*Assumptions!$C$21</x:f>
        <x:v>-154050</x:v>
      </x:c>
      <x:c r="M18" s="58" t="n">
        <x:f>-(M8+M12)*Assumptions!$C$21</x:f>
        <x:v>-156000</x:v>
      </x:c>
      <x:c r="N18" s="58" t="n">
        <x:f>-(N8+N12)*Assumptions!$C$21</x:f>
        <x:v>-157950</x:v>
      </x:c>
      <x:c r="O18" s="58" t="n">
        <x:f>-(O8+O12)*Assumptions!$C$21</x:f>
        <x:v>-161850</x:v>
      </x:c>
      <x:c r="P18" s="58" t="n">
        <x:f>-(P8+P12)*Assumptions!$C$21</x:f>
        <x:v>-163800</x:v>
      </x:c>
      <x:c r="Q18" s="58" t="n">
        <x:f>-(Q8+Q12)*Assumptions!$C$21</x:f>
        <x:v>-167700</x:v>
      </x:c>
      <x:c r="R18" s="58" t="n">
        <x:f>-(R8+R12)*Assumptions!$C$21</x:f>
        <x:v>-171600</x:v>
      </x:c>
      <x:c r="S18" s="58" t="n">
        <x:f>-(S8+S12)*Assumptions!$C$21</x:f>
        <x:v>-183300</x:v>
      </x:c>
      <x:c r="T18" s="58" t="n">
        <x:f>-(T8+T12)*Assumptions!$C$21</x:f>
        <x:v>-189150</x:v>
      </x:c>
      <x:c r="U18" s="58" t="n">
        <x:f>-(U8+U12)*Assumptions!$C$21</x:f>
        <x:v>-288562.49999990885</x:v>
      </x:c>
      <x:c r="V18" s="58" t="n">
        <x:f>-(V8+V12)*Assumptions!$C$21</x:f>
        <x:v>-292409.9999999076</x:v>
      </x:c>
      <x:c r="W18" s="58" t="n">
        <x:f>-(W8+W12)*Assumptions!$C$21</x:f>
        <x:v>-296257.49999990646</x:v>
      </x:c>
      <x:c r="X18" s="58" t="n">
        <x:f>-(X8+X12)*Assumptions!$C$21</x:f>
        <x:v>-303952.499999904</x:v>
      </x:c>
      <x:c r="Y18" s="58" t="n">
        <x:f>-(Y8+Y12)*Assumptions!$C$21</x:f>
        <x:v>-307799.99999990285</x:v>
      </x:c>
      <x:c r="Z18" s="58" t="n">
        <x:f>-(Z8+Z12)*Assumptions!$C$21</x:f>
        <x:v>-311647.49999990157</x:v>
      </x:c>
      <x:c r="AA18" s="58" t="n">
        <x:f>-(AA8+AA12)*Assumptions!$C$21</x:f>
        <x:v>-319342.4999998992</x:v>
      </x:c>
      <x:c r="AB18" s="58" t="n">
        <x:f>-(AB8+AB12)*Assumptions!$C$21</x:f>
        <x:v>-323189.999999898</x:v>
      </x:c>
      <x:c r="AC18" s="58" t="n">
        <x:f>-(AC8+AC12)*Assumptions!$C$21</x:f>
        <x:v>-330884.9999998955</x:v>
      </x:c>
      <x:c r="AD18" s="58" t="n">
        <x:f>-(AD8+AD12)*Assumptions!$C$21</x:f>
        <x:v>-338579.9999998931</x:v>
      </x:c>
      <x:c r="AE18" s="58" t="n">
        <x:f>-(AE8+AE12)*Assumptions!$C$21</x:f>
        <x:v>-361664.9999998858</x:v>
      </x:c>
      <x:c r="AF18" s="58" t="n">
        <x:f>-(AF8+AF12)*Assumptions!$C$21</x:f>
        <x:v>-373207.49999988213</x:v>
      </x:c>
      <x:c r="AG18" s="58" t="n">
        <x:f>-(AG8+AG12)*Assumptions!$C$21</x:f>
        <x:v>-582749.9999996912</x:v>
      </x:c>
      <x:c r="AH18" s="58" t="n">
        <x:f>-(AH8+AH12)*Assumptions!$C$21</x:f>
        <x:v>-590519.999999687</x:v>
      </x:c>
      <x:c r="AI18" s="58" t="n">
        <x:f>-(AI8+AI12)*Assumptions!$C$21</x:f>
        <x:v>-598289.9999996829</x:v>
      </x:c>
      <x:c r="AJ18" s="58" t="n">
        <x:f>-(AJ8+AJ12)*Assumptions!$C$21</x:f>
        <x:v>-613829.9999996747</x:v>
      </x:c>
      <x:c r="AK18" s="58" t="n">
        <x:f>-(AK8+AK12)*Assumptions!$C$21</x:f>
        <x:v>-621599.9999996705</x:v>
      </x:c>
      <x:c r="AL18" s="58" t="n">
        <x:f>-(AL8+AL12)*Assumptions!$C$21</x:f>
        <x:v>-629369.9999996664</x:v>
      </x:c>
      <x:c r="AM18" s="58" t="n">
        <x:f>-(AM8+AM12)*Assumptions!$C$21</x:f>
        <x:v>-644909.9999996581</x:v>
      </x:c>
      <x:c r="AN18" s="58" t="n">
        <x:f>-(AN8+AN12)*Assumptions!$C$21</x:f>
        <x:v>-652679.9999996541</x:v>
      </x:c>
      <x:c r="AO18" s="58" t="n">
        <x:f>-(AO8+AO12)*Assumptions!$C$21</x:f>
        <x:v>-668219.9999996457</x:v>
      </x:c>
      <x:c r="AP18" s="58" t="n">
        <x:f>-(AP8+AP12)*Assumptions!$C$21</x:f>
        <x:v>-683759.9999996375</x:v>
      </x:c>
      <x:c r="AQ18" s="58" t="n">
        <x:f>-(AQ8+AQ12)*Assumptions!$C$21</x:f>
        <x:v>-730379.9999996127</x:v>
      </x:c>
      <x:c r="AR18" s="58" t="n">
        <x:f>-(AR8+AR12)*Assumptions!$C$21</x:f>
        <x:v>-753689.9999996006</x:v>
      </x:c>
      <x:c r="AS18" s="58" t="n">
        <x:f>-(AS8+AS12)*Assumptions!$C$21</x:f>
        <x:v>-1138499.999999707</x:v>
      </x:c>
      <x:c r="AT18" s="58" t="n">
        <x:f>-(AT8+AT12)*Assumptions!$C$21</x:f>
        <x:v>-1153679.9999997031</x:v>
      </x:c>
      <x:c r="AU18" s="58" t="n">
        <x:f>-(AU8+AU12)*Assumptions!$C$21</x:f>
        <x:v>-1168859.9999996992</x:v>
      </x:c>
      <x:c r="AV18" s="58" t="n">
        <x:f>-(AV8+AV12)*Assumptions!$C$21</x:f>
        <x:v>-1199219.9999996915</x:v>
      </x:c>
      <x:c r="AW18" s="58" t="n">
        <x:f>-(AW8+AW12)*Assumptions!$C$21</x:f>
        <x:v>-1214399.9999996878</x:v>
      </x:c>
      <x:c r="AX18" s="58" t="n">
        <x:f>-(AX8+AX12)*Assumptions!$C$21</x:f>
        <x:v>-1229579.9999996836</x:v>
      </x:c>
      <x:c r="AY18" s="58" t="n">
        <x:f>-(AY8+AY12)*Assumptions!$C$21</x:f>
        <x:v>-1259939.999999676</x:v>
      </x:c>
      <x:c r="AZ18" s="58" t="n">
        <x:f>-(AZ8+AZ12)*Assumptions!$C$21</x:f>
        <x:v>-1275119.999999672</x:v>
      </x:c>
      <x:c r="BA18" s="58" t="n">
        <x:f>-(BA8+BA12)*Assumptions!$C$21</x:f>
        <x:v>-1305479.9999996638</x:v>
      </x:c>
      <x:c r="BB18" s="58" t="n">
        <x:f>-(BB8+BB12)*Assumptions!$C$21</x:f>
        <x:v>-1335839.9999996563</x:v>
      </x:c>
      <x:c r="BC18" s="58" t="n">
        <x:f>-(BC8+BC12)*Assumptions!$C$21</x:f>
        <x:v>-1426919.9999996328</x:v>
      </x:c>
      <x:c r="BD18" s="58" t="n">
        <x:f>-(BD8+BD12)*Assumptions!$C$21</x:f>
        <x:v>-1472459.9999996214</x:v>
      </x:c>
      <x:c r="BE18" s="58" t="n">
        <x:f>-(BE8+BE12)*Assumptions!$C$21</x:f>
        <x:v>-2239875.0000000424</x:v>
      </x:c>
      <x:c r="BF18" s="58" t="n">
        <x:f>-(BF8+BF12)*Assumptions!$C$21</x:f>
        <x:v>-2269740.000000043</x:v>
      </x:c>
      <x:c r="BG18" s="58" t="n">
        <x:f>-(BG8+BG12)*Assumptions!$C$21</x:f>
        <x:v>-2299605.0000000433</x:v>
      </x:c>
      <x:c r="BH18" s="58" t="n">
        <x:f>-(BH8+BH12)*Assumptions!$C$21</x:f>
        <x:v>-2359335.0000000447</x:v>
      </x:c>
      <x:c r="BI18" s="58" t="n">
        <x:f>-(BI8+BI12)*Assumptions!$C$21</x:f>
        <x:v>-2389200.000000045</x:v>
      </x:c>
      <x:c r="BJ18" s="58" t="n">
        <x:f>-(BJ8+BJ12)*Assumptions!$C$21</x:f>
        <x:v>-2419065.0000000456</x:v>
      </x:c>
      <x:c r="BK18" s="58" t="n">
        <x:f>-(BK8+BK12)*Assumptions!$C$21</x:f>
        <x:v>-2478795.000000047</x:v>
      </x:c>
      <x:c r="BL18" s="58" t="n">
        <x:f>-(BL8+BL12)*Assumptions!$C$21</x:f>
        <x:v>-2508660.0000000475</x:v>
      </x:c>
      <x:c r="BM18" s="58" t="n">
        <x:f>-(BM8+BM12)*Assumptions!$C$21</x:f>
        <x:v>-2568390.0000000484</x:v>
      </x:c>
      <x:c r="BN18" s="58" t="n">
        <x:f>-(BN8+BN12)*Assumptions!$C$21</x:f>
        <x:v>-2628120.00000005</x:v>
      </x:c>
      <x:c r="BO18" s="58" t="n">
        <x:f>-(BO8+BO12)*Assumptions!$C$21</x:f>
        <x:v>-2807310.000000053</x:v>
      </x:c>
      <x:c r="BP18" s="58" t="n">
        <x:f>-(BP8+BP12)*Assumptions!$C$21</x:f>
        <x:v>-2896905.0000000545</x:v>
      </x:c>
    </x:row>
    <x:row r="19">
      <x:c r="A19" s="26" t="str">
        <x:v>  AI</x:v>
      </x:c>
      <x:c r="B19" s="26" t="str">
        <x:v>Стоимость моделей и инфраструктуры для AI-баланса</x:v>
      </x:c>
      <x:c r="C19" s="63" t="n">
        <x:f>SUM(I19:T19)</x:f>
        <x:v>-910000.0000000001</x:v>
      </x:c>
      <x:c r="D19" s="67" t="n">
        <x:f>SUM(U19:AF19)</x:f>
        <x:v>-1519999.9999995201</x:v>
      </x:c>
      <x:c r="E19" s="71" t="n">
        <x:f>SUM(AG19:AR19)</x:f>
        <x:v>-2799999.999998516</x:v>
      </x:c>
      <x:c r="F19" s="75" t="n">
        <x:f>SUM(AS19:BD19)</x:f>
        <x:v>-5279999.999998642</x:v>
      </x:c>
      <x:c r="G19" s="79" t="n">
        <x:f>SUM(BE19:BP19)</x:f>
        <x:v>-9412000.000000177</x:v>
      </x:c>
      <x:c r="H19" s="58"/>
      <x:c r="I19" s="58" t="n">
        <x:f>-I10*Assumptions!$C$22</x:f>
        <x:v>-68250.00000000001</x:v>
      </x:c>
      <x:c r="J19" s="58" t="n">
        <x:f>-J10*Assumptions!$C$22</x:f>
        <x:v>-69160.00000000001</x:v>
      </x:c>
      <x:c r="K19" s="58" t="n">
        <x:f>-K10*Assumptions!$C$22</x:f>
        <x:v>-70070.00000000001</x:v>
      </x:c>
      <x:c r="L19" s="58" t="n">
        <x:f>-L10*Assumptions!$C$22</x:f>
        <x:v>-71890.00000000001</x:v>
      </x:c>
      <x:c r="M19" s="58" t="n">
        <x:f>-M10*Assumptions!$C$22</x:f>
        <x:v>-72800.00000000001</x:v>
      </x:c>
      <x:c r="N19" s="58" t="n">
        <x:f>-N10*Assumptions!$C$22</x:f>
        <x:v>-73710.00000000001</x:v>
      </x:c>
      <x:c r="O19" s="58" t="n">
        <x:f>-O10*Assumptions!$C$22</x:f>
        <x:v>-75530.00000000001</x:v>
      </x:c>
      <x:c r="P19" s="58" t="n">
        <x:f>-P10*Assumptions!$C$22</x:f>
        <x:v>-76440.00000000001</x:v>
      </x:c>
      <x:c r="Q19" s="58" t="n">
        <x:f>-Q10*Assumptions!$C$22</x:f>
        <x:v>-78260.00000000001</x:v>
      </x:c>
      <x:c r="R19" s="58" t="n">
        <x:f>-R10*Assumptions!$C$22</x:f>
        <x:v>-80080.00000000001</x:v>
      </x:c>
      <x:c r="S19" s="58" t="n">
        <x:f>-S10*Assumptions!$C$22</x:f>
        <x:v>-85540.00000000001</x:v>
      </x:c>
      <x:c r="T19" s="58" t="n">
        <x:f>-T10*Assumptions!$C$22</x:f>
        <x:v>-88270.00000000001</x:v>
      </x:c>
      <x:c r="U19" s="58" t="n">
        <x:f>-U10*Assumptions!$C$22</x:f>
        <x:v>-113999.99999996401</x:v>
      </x:c>
      <x:c r="V19" s="58" t="n">
        <x:f>-V10*Assumptions!$C$22</x:f>
        <x:v>-115519.99999996352</x:v>
      </x:c>
      <x:c r="W19" s="58" t="n">
        <x:f>-W10*Assumptions!$C$22</x:f>
        <x:v>-117039.99999996305</x:v>
      </x:c>
      <x:c r="X19" s="58" t="n">
        <x:f>-X10*Assumptions!$C$22</x:f>
        <x:v>-120079.9999999621</x:v>
      </x:c>
      <x:c r="Y19" s="58" t="n">
        <x:f>-Y10*Assumptions!$C$22</x:f>
        <x:v>-121599.99999996161</x:v>
      </x:c>
      <x:c r="Z19" s="58" t="n">
        <x:f>-Z10*Assumptions!$C$22</x:f>
        <x:v>-123119.99999996112</x:v>
      </x:c>
      <x:c r="AA19" s="58" t="n">
        <x:f>-AA10*Assumptions!$C$22</x:f>
        <x:v>-126159.99999996017</x:v>
      </x:c>
      <x:c r="AB19" s="58" t="n">
        <x:f>-AB10*Assumptions!$C$22</x:f>
        <x:v>-127679.9999999597</x:v>
      </x:c>
      <x:c r="AC19" s="58" t="n">
        <x:f>-AC10*Assumptions!$C$22</x:f>
        <x:v>-130719.99999995873</x:v>
      </x:c>
      <x:c r="AD19" s="58" t="n">
        <x:f>-AD10*Assumptions!$C$22</x:f>
        <x:v>-133759.99999995777</x:v>
      </x:c>
      <x:c r="AE19" s="58" t="n">
        <x:f>-AE10*Assumptions!$C$22</x:f>
        <x:v>-142879.9999999549</x:v>
      </x:c>
      <x:c r="AF19" s="58" t="n">
        <x:f>-AF10*Assumptions!$C$22</x:f>
        <x:v>-147439.99999995346</x:v>
      </x:c>
      <x:c r="AG19" s="58" t="n">
        <x:f>-AG10*Assumptions!$C$22</x:f>
        <x:v>-209999.9999998887</x:v>
      </x:c>
      <x:c r="AH19" s="58" t="n">
        <x:f>-AH10*Assumptions!$C$22</x:f>
        <x:v>-212799.99999988722</x:v>
      </x:c>
      <x:c r="AI19" s="58" t="n">
        <x:f>-AI10*Assumptions!$C$22</x:f>
        <x:v>-215599.99999988574</x:v>
      </x:c>
      <x:c r="AJ19" s="58" t="n">
        <x:f>-AJ10*Assumptions!$C$22</x:f>
        <x:v>-221199.9999998828</x:v>
      </x:c>
      <x:c r="AK19" s="58" t="n">
        <x:f>-AK10*Assumptions!$C$22</x:f>
        <x:v>-223999.99999988131</x:v>
      </x:c>
      <x:c r="AL19" s="58" t="n">
        <x:f>-AL10*Assumptions!$C$22</x:f>
        <x:v>-226799.99999987983</x:v>
      </x:c>
      <x:c r="AM19" s="58" t="n">
        <x:f>-AM10*Assumptions!$C$22</x:f>
        <x:v>-232399.99999987683</x:v>
      </x:c>
      <x:c r="AN19" s="58" t="n">
        <x:f>-AN10*Assumptions!$C$22</x:f>
        <x:v>-235199.99999987535</x:v>
      </x:c>
      <x:c r="AO19" s="58" t="n">
        <x:f>-AO10*Assumptions!$C$22</x:f>
        <x:v>-240799.99999987238</x:v>
      </x:c>
      <x:c r="AP19" s="58" t="n">
        <x:f>-AP10*Assumptions!$C$22</x:f>
        <x:v>-246399.99999986938</x:v>
      </x:c>
      <x:c r="AQ19" s="58" t="n">
        <x:f>-AQ10*Assumptions!$C$22</x:f>
        <x:v>-263199.9999998605</x:v>
      </x:c>
      <x:c r="AR19" s="58" t="n">
        <x:f>-AR10*Assumptions!$C$22</x:f>
        <x:v>-271599.99999985605</x:v>
      </x:c>
      <x:c r="AS19" s="58" t="n">
        <x:f>-AS10*Assumptions!$C$22</x:f>
        <x:v>-395999.99999989814</x:v>
      </x:c>
      <x:c r="AT19" s="58" t="n">
        <x:f>-AT10*Assumptions!$C$22</x:f>
        <x:v>-401279.9999998968</x:v>
      </x:c>
      <x:c r="AU19" s="58" t="n">
        <x:f>-AU10*Assumptions!$C$22</x:f>
        <x:v>-406559.9999998954</x:v>
      </x:c>
      <x:c r="AV19" s="58" t="n">
        <x:f>-AV10*Assumptions!$C$22</x:f>
        <x:v>-417119.9999998927</x:v>
      </x:c>
      <x:c r="AW19" s="58" t="n">
        <x:f>-AW10*Assumptions!$C$22</x:f>
        <x:v>-422399.9999998913</x:v>
      </x:c>
      <x:c r="AX19" s="58" t="n">
        <x:f>-AX10*Assumptions!$C$22</x:f>
        <x:v>-427679.99999989005</x:v>
      </x:c>
      <x:c r="AY19" s="58" t="n">
        <x:f>-AY10*Assumptions!$C$22</x:f>
        <x:v>-438239.99999988725</x:v>
      </x:c>
      <x:c r="AZ19" s="58" t="n">
        <x:f>-AZ10*Assumptions!$C$22</x:f>
        <x:v>-443519.9999998859</x:v>
      </x:c>
      <x:c r="BA19" s="58" t="n">
        <x:f>-BA10*Assumptions!$C$22</x:f>
        <x:v>-454079.9999998831</x:v>
      </x:c>
      <x:c r="BB19" s="58" t="n">
        <x:f>-BB10*Assumptions!$C$22</x:f>
        <x:v>-464639.99999988044</x:v>
      </x:c>
      <x:c r="BC19" s="58" t="n">
        <x:f>-BC10*Assumptions!$C$22</x:f>
        <x:v>-496319.99999987235</x:v>
      </x:c>
      <x:c r="BD19" s="58" t="n">
        <x:f>-BD10*Assumptions!$C$22</x:f>
        <x:v>-512159.99999986833</x:v>
      </x:c>
      <x:c r="BE19" s="58" t="n">
        <x:f>-BE10*Assumptions!$C$22</x:f>
        <x:v>-705900.0000000135</x:v>
      </x:c>
      <x:c r="BF19" s="58" t="n">
        <x:f>-BF10*Assumptions!$C$22</x:f>
        <x:v>-715312.0000000136</x:v>
      </x:c>
      <x:c r="BG19" s="58" t="n">
        <x:f>-BG10*Assumptions!$C$22</x:f>
        <x:v>-724724.0000000139</x:v>
      </x:c>
      <x:c r="BH19" s="58" t="n">
        <x:f>-BH10*Assumptions!$C$22</x:f>
        <x:v>-743548.0000000141</x:v>
      </x:c>
      <x:c r="BI19" s="58" t="n">
        <x:f>-BI10*Assumptions!$C$22</x:f>
        <x:v>-752960.0000000143</x:v>
      </x:c>
      <x:c r="BJ19" s="58" t="n">
        <x:f>-BJ10*Assumptions!$C$22</x:f>
        <x:v>-762372.0000000144</x:v>
      </x:c>
      <x:c r="BK19" s="58" t="n">
        <x:f>-BK10*Assumptions!$C$22</x:f>
        <x:v>-781196.0000000149</x:v>
      </x:c>
      <x:c r="BL19" s="58" t="n">
        <x:f>-BL10*Assumptions!$C$22</x:f>
        <x:v>-790608.000000015</x:v>
      </x:c>
      <x:c r="BM19" s="58" t="n">
        <x:f>-BM10*Assumptions!$C$22</x:f>
        <x:v>-809432.0000000154</x:v>
      </x:c>
      <x:c r="BN19" s="58" t="n">
        <x:f>-BN10*Assumptions!$C$22</x:f>
        <x:v>-828256.0000000157</x:v>
      </x:c>
      <x:c r="BO19" s="58" t="n">
        <x:f>-BO10*Assumptions!$C$22</x:f>
        <x:v>-884728.0000000168</x:v>
      </x:c>
      <x:c r="BP19" s="58" t="n">
        <x:f>-BP10*Assumptions!$C$22</x:f>
        <x:v>-912964.0000000173</x:v>
      </x:c>
    </x:row>
    <x:row r="20">
      <x:c r="A20" s="26" t="str">
        <x:v>  Эксперт и допуслуги</x:v>
      </x:c>
      <x:c r="B20" s="26" t="str">
        <x:v>Работа эксперта в тарифе 2 и разовых услугах</x:v>
      </x:c>
      <x:c r="C20" s="63" t="n">
        <x:f>SUM(I20:T20)</x:f>
        <x:v>-4225000</x:v>
      </x:c>
      <x:c r="D20" s="67" t="n">
        <x:f>SUM(U20:AF20)</x:f>
        <x:v>-7124999.999997751</x:v>
      </x:c>
      <x:c r="E20" s="71" t="n">
        <x:f>SUM(AG20:AR20)</x:f>
        <x:v>-12599999.999993322</x:v>
      </x:c>
      <x:c r="F20" s="75" t="n">
        <x:f>SUM(AS20:BD20)</x:f>
        <x:v>-23099999.99999406</x:v>
      </x:c>
      <x:c r="G20" s="79" t="n">
        <x:f>SUM(BE20:BP20)</x:f>
        <x:v>-39820000.00000076</x:v>
      </x:c>
      <x:c r="H20" s="58"/>
      <x:c r="I20" s="58" t="n">
        <x:f>-(I9+I11)*Assumptions!$C$23</x:f>
        <x:v>-316875</x:v>
      </x:c>
      <x:c r="J20" s="58" t="n">
        <x:f>-(J9+J11)*Assumptions!$C$23</x:f>
        <x:v>-321100</x:v>
      </x:c>
      <x:c r="K20" s="58" t="n">
        <x:f>-(K9+K11)*Assumptions!$C$23</x:f>
        <x:v>-325325</x:v>
      </x:c>
      <x:c r="L20" s="58" t="n">
        <x:f>-(L9+L11)*Assumptions!$C$23</x:f>
        <x:v>-333775</x:v>
      </x:c>
      <x:c r="M20" s="58" t="n">
        <x:f>-(M9+M11)*Assumptions!$C$23</x:f>
        <x:v>-338000</x:v>
      </x:c>
      <x:c r="N20" s="58" t="n">
        <x:f>-(N9+N11)*Assumptions!$C$23</x:f>
        <x:v>-342225</x:v>
      </x:c>
      <x:c r="O20" s="58" t="n">
        <x:f>-(O9+O11)*Assumptions!$C$23</x:f>
        <x:v>-350675</x:v>
      </x:c>
      <x:c r="P20" s="58" t="n">
        <x:f>-(P9+P11)*Assumptions!$C$23</x:f>
        <x:v>-354900</x:v>
      </x:c>
      <x:c r="Q20" s="58" t="n">
        <x:f>-(Q9+Q11)*Assumptions!$C$23</x:f>
        <x:v>-363350</x:v>
      </x:c>
      <x:c r="R20" s="58" t="n">
        <x:f>-(R9+R11)*Assumptions!$C$23</x:f>
        <x:v>-371800</x:v>
      </x:c>
      <x:c r="S20" s="58" t="n">
        <x:f>-(S9+S11)*Assumptions!$C$23</x:f>
        <x:v>-397150</x:v>
      </x:c>
      <x:c r="T20" s="58" t="n">
        <x:f>-(T9+T11)*Assumptions!$C$23</x:f>
        <x:v>-409825</x:v>
      </x:c>
      <x:c r="U20" s="58" t="n">
        <x:f>-(U9+U11)*Assumptions!$C$23</x:f>
        <x:v>-534374.9999998313</x:v>
      </x:c>
      <x:c r="V20" s="58" t="n">
        <x:f>-(V9+V11)*Assumptions!$C$23</x:f>
        <x:v>-541499.9999998291</x:v>
      </x:c>
      <x:c r="W20" s="58" t="n">
        <x:f>-(W9+W11)*Assumptions!$C$23</x:f>
        <x:v>-548624.9999998268</x:v>
      </x:c>
      <x:c r="X20" s="58" t="n">
        <x:f>-(X9+X11)*Assumptions!$C$23</x:f>
        <x:v>-562874.9999998224</x:v>
      </x:c>
      <x:c r="Y20" s="58" t="n">
        <x:f>-(Y9+Y11)*Assumptions!$C$23</x:f>
        <x:v>-569999.9999998201</x:v>
      </x:c>
      <x:c r="Z20" s="58" t="n">
        <x:f>-(Z9+Z11)*Assumptions!$C$23</x:f>
        <x:v>-577124.9999998178</x:v>
      </x:c>
      <x:c r="AA20" s="58" t="n">
        <x:f>-(AA9+AA11)*Assumptions!$C$23</x:f>
        <x:v>-591374.9999998133</x:v>
      </x:c>
      <x:c r="AB20" s="58" t="n">
        <x:f>-(AB9+AB11)*Assumptions!$C$23</x:f>
        <x:v>-598499.999999811</x:v>
      </x:c>
      <x:c r="AC20" s="58" t="n">
        <x:f>-(AC9+AC11)*Assumptions!$C$23</x:f>
        <x:v>-612749.9999998065</x:v>
      </x:c>
      <x:c r="AD20" s="58" t="n">
        <x:f>-(AD9+AD11)*Assumptions!$C$23</x:f>
        <x:v>-626999.999999802</x:v>
      </x:c>
      <x:c r="AE20" s="58" t="n">
        <x:f>-(AE9+AE11)*Assumptions!$C$23</x:f>
        <x:v>-669749.9999997886</x:v>
      </x:c>
      <x:c r="AF20" s="58" t="n">
        <x:f>-(AF9+AF11)*Assumptions!$C$23</x:f>
        <x:v>-691124.9999997818</x:v>
      </x:c>
      <x:c r="AG20" s="58" t="n">
        <x:f>-(AG9+AG11)*Assumptions!$C$23</x:f>
        <x:v>-944999.999999499</x:v>
      </x:c>
      <x:c r="AH20" s="58" t="n">
        <x:f>-(AH9+AH11)*Assumptions!$C$23</x:f>
        <x:v>-957599.9999994924</x:v>
      </x:c>
      <x:c r="AI20" s="58" t="n">
        <x:f>-(AI9+AI11)*Assumptions!$C$23</x:f>
        <x:v>-970199.9999994857</x:v>
      </x:c>
      <x:c r="AJ20" s="58" t="n">
        <x:f>-(AJ9+AJ11)*Assumptions!$C$23</x:f>
        <x:v>-995399.9999994724</x:v>
      </x:c>
      <x:c r="AK20" s="58" t="n">
        <x:f>-(AK9+AK11)*Assumptions!$C$23</x:f>
        <x:v>-1007999.9999994657</x:v>
      </x:c>
      <x:c r="AL20" s="58" t="n">
        <x:f>-(AL9+AL11)*Assumptions!$C$23</x:f>
        <x:v>-1020599.999999459</x:v>
      </x:c>
      <x:c r="AM20" s="58" t="n">
        <x:f>-(AM9+AM11)*Assumptions!$C$23</x:f>
        <x:v>-1045799.9999994457</x:v>
      </x:c>
      <x:c r="AN20" s="58" t="n">
        <x:f>-(AN9+AN11)*Assumptions!$C$23</x:f>
        <x:v>-1058399.999999439</x:v>
      </x:c>
      <x:c r="AO20" s="58" t="n">
        <x:f>-(AO9+AO11)*Assumptions!$C$23</x:f>
        <x:v>-1083599.9999994254</x:v>
      </x:c>
      <x:c r="AP20" s="58" t="n">
        <x:f>-(AP9+AP11)*Assumptions!$C$23</x:f>
        <x:v>-1108799.9999994123</x:v>
      </x:c>
      <x:c r="AQ20" s="58" t="n">
        <x:f>-(AQ9+AQ11)*Assumptions!$C$23</x:f>
        <x:v>-1184399.9999993723</x:v>
      </x:c>
      <x:c r="AR20" s="58" t="n">
        <x:f>-(AR9+AR11)*Assumptions!$C$23</x:f>
        <x:v>-1222199.9999993523</x:v>
      </x:c>
      <x:c r="AS20" s="58" t="n">
        <x:f>-(AS9+AS11)*Assumptions!$C$23</x:f>
        <x:v>-1732499.9999995544</x:v>
      </x:c>
      <x:c r="AT20" s="58" t="n">
        <x:f>-(AT9+AT11)*Assumptions!$C$23</x:f>
        <x:v>-1755599.9999995483</x:v>
      </x:c>
      <x:c r="AU20" s="58" t="n">
        <x:f>-(AU9+AU11)*Assumptions!$C$23</x:f>
        <x:v>-1778699.9999995425</x:v>
      </x:c>
      <x:c r="AV20" s="58" t="n">
        <x:f>-(AV9+AV11)*Assumptions!$C$23</x:f>
        <x:v>-1824899.9999995306</x:v>
      </x:c>
      <x:c r="AW20" s="58" t="n">
        <x:f>-(AW9+AW11)*Assumptions!$C$23</x:f>
        <x:v>-1847999.999999525</x:v>
      </x:c>
      <x:c r="AX20" s="58" t="n">
        <x:f>-(AX9+AX11)*Assumptions!$C$23</x:f>
        <x:v>-1871099.999999519</x:v>
      </x:c>
      <x:c r="AY20" s="58" t="n">
        <x:f>-(AY9+AY11)*Assumptions!$C$23</x:f>
        <x:v>-1917299.9999995069</x:v>
      </x:c>
      <x:c r="AZ20" s="58" t="n">
        <x:f>-(AZ9+AZ11)*Assumptions!$C$23</x:f>
        <x:v>-1940399.9999995008</x:v>
      </x:c>
      <x:c r="BA20" s="58" t="n">
        <x:f>-(BA9+BA11)*Assumptions!$C$23</x:f>
        <x:v>-1986599.9999994892</x:v>
      </x:c>
      <x:c r="BB20" s="58" t="n">
        <x:f>-(BB9+BB11)*Assumptions!$C$23</x:f>
        <x:v>-2032799.999999477</x:v>
      </x:c>
      <x:c r="BC20" s="58" t="n">
        <x:f>-(BC9+BC11)*Assumptions!$C$23</x:f>
        <x:v>-2171399.9999994417</x:v>
      </x:c>
      <x:c r="BD20" s="58" t="n">
        <x:f>-(BD9+BD11)*Assumptions!$C$23</x:f>
        <x:v>-2240699.999999424</x:v>
      </x:c>
      <x:c r="BE20" s="58" t="n">
        <x:f>-(BE9+BE11)*Assumptions!$C$23</x:f>
        <x:v>-2986500.0000000563</x:v>
      </x:c>
      <x:c r="BF20" s="58" t="n">
        <x:f>-(BF9+BF11)*Assumptions!$C$23</x:f>
        <x:v>-3026320.0000000577</x:v>
      </x:c>
      <x:c r="BG20" s="58" t="n">
        <x:f>-(BG9+BG11)*Assumptions!$C$23</x:f>
        <x:v>-3066140.000000058</x:v>
      </x:c>
      <x:c r="BH20" s="58" t="n">
        <x:f>-(BH9+BH11)*Assumptions!$C$23</x:f>
        <x:v>-3145780.0000000596</x:v>
      </x:c>
      <x:c r="BI20" s="58" t="n">
        <x:f>-(BI9+BI11)*Assumptions!$C$23</x:f>
        <x:v>-3185600.00000006</x:v>
      </x:c>
      <x:c r="BJ20" s="58" t="n">
        <x:f>-(BJ9+BJ11)*Assumptions!$C$23</x:f>
        <x:v>-3225420.000000061</x:v>
      </x:c>
      <x:c r="BK20" s="58" t="n">
        <x:f>-(BK9+BK11)*Assumptions!$C$23</x:f>
        <x:v>-3305060.000000063</x:v>
      </x:c>
      <x:c r="BL20" s="58" t="n">
        <x:f>-(BL9+BL11)*Assumptions!$C$23</x:f>
        <x:v>-3344880.0000000633</x:v>
      </x:c>
      <x:c r="BM20" s="58" t="n">
        <x:f>-(BM9+BM11)*Assumptions!$C$23</x:f>
        <x:v>-3424520.000000065</x:v>
      </x:c>
      <x:c r="BN20" s="58" t="n">
        <x:f>-(BN9+BN11)*Assumptions!$C$23</x:f>
        <x:v>-3504160.000000066</x:v>
      </x:c>
      <x:c r="BO20" s="58" t="n">
        <x:f>-(BO9+BO11)*Assumptions!$C$23</x:f>
        <x:v>-3743080.000000071</x:v>
      </x:c>
      <x:c r="BP20" s="58" t="n">
        <x:f>-(BP9+BP11)*Assumptions!$C$23</x:f>
        <x:v>-3862540.000000073</x:v>
      </x:c>
    </x:row>
    <x:row r="21">
      <x:c r="A21" s="26" t="str">
        <x:v>  Индивидуальная карта</x:v>
      </x:c>
      <x:c r="B21" s="26" t="str">
        <x:v>Трудозатраты команды на карту</x:v>
      </x:c>
      <x:c r="C21" s="63" t="n">
        <x:f>SUM(I21:T21)</x:f>
        <x:v>-2275000</x:v>
      </x:c>
      <x:c r="D21" s="67" t="n">
        <x:f>SUM(U21:AF21)</x:f>
        <x:v>-2659999.99999916</x:v>
      </x:c>
      <x:c r="E21" s="71" t="n">
        <x:f>SUM(AG21:AR21)</x:f>
        <x:v>-2939999.999998441</x:v>
      </x:c>
      <x:c r="F21" s="75" t="n">
        <x:f>SUM(AS21:BD21)</x:f>
        <x:v>-3079999.999999208</x:v>
      </x:c>
      <x:c r="G21" s="79" t="n">
        <x:f>SUM(BE21:BP21)</x:f>
        <x:v>-3801000.0000000712</x:v>
      </x:c>
      <x:c r="H21" s="58"/>
      <x:c r="I21" s="58" t="n">
        <x:f>-I13*Assumptions!$C$24</x:f>
        <x:v>-170625</x:v>
      </x:c>
      <x:c r="J21" s="58" t="n">
        <x:f>-J13*Assumptions!$C$24</x:f>
        <x:v>-172900</x:v>
      </x:c>
      <x:c r="K21" s="58" t="n">
        <x:f>-K13*Assumptions!$C$24</x:f>
        <x:v>-175175</x:v>
      </x:c>
      <x:c r="L21" s="58" t="n">
        <x:f>-L13*Assumptions!$C$24</x:f>
        <x:v>-179725</x:v>
      </x:c>
      <x:c r="M21" s="58" t="n">
        <x:f>-M13*Assumptions!$C$24</x:f>
        <x:v>-182000</x:v>
      </x:c>
      <x:c r="N21" s="58" t="n">
        <x:f>-N13*Assumptions!$C$24</x:f>
        <x:v>-184275</x:v>
      </x:c>
      <x:c r="O21" s="58" t="n">
        <x:f>-O13*Assumptions!$C$24</x:f>
        <x:v>-188825</x:v>
      </x:c>
      <x:c r="P21" s="58" t="n">
        <x:f>-P13*Assumptions!$C$24</x:f>
        <x:v>-191100</x:v>
      </x:c>
      <x:c r="Q21" s="58" t="n">
        <x:f>-Q13*Assumptions!$C$24</x:f>
        <x:v>-195650</x:v>
      </x:c>
      <x:c r="R21" s="58" t="n">
        <x:f>-R13*Assumptions!$C$24</x:f>
        <x:v>-200200</x:v>
      </x:c>
      <x:c r="S21" s="58" t="n">
        <x:f>-S13*Assumptions!$C$24</x:f>
        <x:v>-213850</x:v>
      </x:c>
      <x:c r="T21" s="58" t="n">
        <x:f>-T13*Assumptions!$C$24</x:f>
        <x:v>-220675</x:v>
      </x:c>
      <x:c r="U21" s="58" t="n">
        <x:f>-U13*Assumptions!$C$24</x:f>
        <x:v>-199499.999999937</x:v>
      </x:c>
      <x:c r="V21" s="58" t="n">
        <x:f>-V13*Assumptions!$C$24</x:f>
        <x:v>-202159.99999993615</x:v>
      </x:c>
      <x:c r="W21" s="58" t="n">
        <x:f>-W13*Assumptions!$C$24</x:f>
        <x:v>-204819.99999993533</x:v>
      </x:c>
      <x:c r="X21" s="58" t="n">
        <x:f>-X13*Assumptions!$C$24</x:f>
        <x:v>-210139.99999993364</x:v>
      </x:c>
      <x:c r="Y21" s="58" t="n">
        <x:f>-Y13*Assumptions!$C$24</x:f>
        <x:v>-212799.9999999328</x:v>
      </x:c>
      <x:c r="Z21" s="58" t="n">
        <x:f>-Z13*Assumptions!$C$24</x:f>
        <x:v>-215459.99999993196</x:v>
      </x:c>
      <x:c r="AA21" s="58" t="n">
        <x:f>-AA13*Assumptions!$C$24</x:f>
        <x:v>-220779.99999993027</x:v>
      </x:c>
      <x:c r="AB21" s="58" t="n">
        <x:f>-AB13*Assumptions!$C$24</x:f>
        <x:v>-223439.99999992945</x:v>
      </x:c>
      <x:c r="AC21" s="58" t="n">
        <x:f>-AC13*Assumptions!$C$24</x:f>
        <x:v>-228759.99999992774</x:v>
      </x:c>
      <x:c r="AD21" s="58" t="n">
        <x:f>-AD13*Assumptions!$C$24</x:f>
        <x:v>-234079.99999992608</x:v>
      </x:c>
      <x:c r="AE21" s="58" t="n">
        <x:f>-AE13*Assumptions!$C$24</x:f>
        <x:v>-250039.999999921</x:v>
      </x:c>
      <x:c r="AF21" s="58" t="n">
        <x:f>-AF13*Assumptions!$C$24</x:f>
        <x:v>-258019.99999991854</x:v>
      </x:c>
      <x:c r="AG21" s="58" t="n">
        <x:f>-AG13*Assumptions!$C$24</x:f>
        <x:v>-220499.9999998831</x:v>
      </x:c>
      <x:c r="AH21" s="58" t="n">
        <x:f>-AH13*Assumptions!$C$24</x:f>
        <x:v>-223439.99999988155</x:v>
      </x:c>
      <x:c r="AI21" s="58" t="n">
        <x:f>-AI13*Assumptions!$C$24</x:f>
        <x:v>-226379.99999988</x:v>
      </x:c>
      <x:c r="AJ21" s="58" t="n">
        <x:f>-AJ13*Assumptions!$C$24</x:f>
        <x:v>-232259.9999998769</x:v>
      </x:c>
      <x:c r="AK21" s="58" t="n">
        <x:f>-AK13*Assumptions!$C$24</x:f>
        <x:v>-235199.9999998753</x:v>
      </x:c>
      <x:c r="AL21" s="58" t="n">
        <x:f>-AL13*Assumptions!$C$24</x:f>
        <x:v>-238139.99999987375</x:v>
      </x:c>
      <x:c r="AM21" s="58" t="n">
        <x:f>-AM13*Assumptions!$C$24</x:f>
        <x:v>-244019.99999987066</x:v>
      </x:c>
      <x:c r="AN21" s="58" t="n">
        <x:f>-AN13*Assumptions!$C$24</x:f>
        <x:v>-246959.99999986912</x:v>
      </x:c>
      <x:c r="AO21" s="58" t="n">
        <x:f>-AO13*Assumptions!$C$24</x:f>
        <x:v>-252839.99999986592</x:v>
      </x:c>
      <x:c r="AP21" s="58" t="n">
        <x:f>-AP13*Assumptions!$C$24</x:f>
        <x:v>-258719.99999986283</x:v>
      </x:c>
      <x:c r="AQ21" s="58" t="n">
        <x:f>-AQ13*Assumptions!$C$24</x:f>
        <x:v>-276359.9999998535</x:v>
      </x:c>
      <x:c r="AR21" s="58" t="n">
        <x:f>-AR13*Assumptions!$C$24</x:f>
        <x:v>-285179.99999984883</x:v>
      </x:c>
      <x:c r="AS21" s="58" t="n">
        <x:f>-AS13*Assumptions!$C$24</x:f>
        <x:v>-230999.99999994057</x:v>
      </x:c>
      <x:c r="AT21" s="58" t="n">
        <x:f>-AT13*Assumptions!$C$24</x:f>
        <x:v>-234079.99999993976</x:v>
      </x:c>
      <x:c r="AU21" s="58" t="n">
        <x:f>-AU13*Assumptions!$C$24</x:f>
        <x:v>-237159.999999939</x:v>
      </x:c>
      <x:c r="AV21" s="58" t="n">
        <x:f>-AV13*Assumptions!$C$24</x:f>
        <x:v>-243319.9999999374</x:v>
      </x:c>
      <x:c r="AW21" s="58" t="n">
        <x:f>-AW13*Assumptions!$C$24</x:f>
        <x:v>-246399.9999999366</x:v>
      </x:c>
      <x:c r="AX21" s="58" t="n">
        <x:f>-AX13*Assumptions!$C$24</x:f>
        <x:v>-249479.99999993586</x:v>
      </x:c>
      <x:c r="AY21" s="58" t="n">
        <x:f>-AY13*Assumptions!$C$24</x:f>
        <x:v>-255639.99999993423</x:v>
      </x:c>
      <x:c r="AZ21" s="58" t="n">
        <x:f>-AZ13*Assumptions!$C$24</x:f>
        <x:v>-258719.99999993344</x:v>
      </x:c>
      <x:c r="BA21" s="58" t="n">
        <x:f>-BA13*Assumptions!$C$24</x:f>
        <x:v>-264879.99999993184</x:v>
      </x:c>
      <x:c r="BB21" s="58" t="n">
        <x:f>-BB13*Assumptions!$C$24</x:f>
        <x:v>-271039.99999993027</x:v>
      </x:c>
      <x:c r="BC21" s="58" t="n">
        <x:f>-BC13*Assumptions!$C$24</x:f>
        <x:v>-289519.9999999255</x:v>
      </x:c>
      <x:c r="BD21" s="58" t="n">
        <x:f>-BD13*Assumptions!$C$24</x:f>
        <x:v>-298759.99999992317</x:v>
      </x:c>
      <x:c r="BE21" s="58" t="n">
        <x:f>-BE13*Assumptions!$C$24</x:f>
        <x:v>-285075.00000000536</x:v>
      </x:c>
      <x:c r="BF21" s="58" t="n">
        <x:f>-BF13*Assumptions!$C$24</x:f>
        <x:v>-288876.0000000054</x:v>
      </x:c>
      <x:c r="BG21" s="58" t="n">
        <x:f>-BG13*Assumptions!$C$24</x:f>
        <x:v>-292677.00000000553</x:v>
      </x:c>
      <x:c r="BH21" s="58" t="n">
        <x:f>-BH13*Assumptions!$C$24</x:f>
        <x:v>-300279.00000000565</x:v>
      </x:c>
      <x:c r="BI21" s="58" t="n">
        <x:f>-BI13*Assumptions!$C$24</x:f>
        <x:v>-304080.0000000057</x:v>
      </x:c>
      <x:c r="BJ21" s="58" t="n">
        <x:f>-BJ13*Assumptions!$C$24</x:f>
        <x:v>-307881.0000000058</x:v>
      </x:c>
      <x:c r="BK21" s="58" t="n">
        <x:f>-BK13*Assumptions!$C$24</x:f>
        <x:v>-315483.000000006</x:v>
      </x:c>
      <x:c r="BL21" s="58" t="n">
        <x:f>-BL13*Assumptions!$C$24</x:f>
        <x:v>-319284.00000000605</x:v>
      </x:c>
      <x:c r="BM21" s="58" t="n">
        <x:f>-BM13*Assumptions!$C$24</x:f>
        <x:v>-326886.0000000061</x:v>
      </x:c>
      <x:c r="BN21" s="58" t="n">
        <x:f>-BN13*Assumptions!$C$24</x:f>
        <x:v>-334488.0000000062</x:v>
      </x:c>
      <x:c r="BO21" s="58" t="n">
        <x:f>-BO13*Assumptions!$C$24</x:f>
        <x:v>-357294.0000000067</x:v>
      </x:c>
      <x:c r="BP21" s="58" t="n">
        <x:f>-BP13*Assumptions!$C$24</x:f>
        <x:v>-368697.0000000069</x:v>
      </x:c>
    </x:row>
    <x:row r="22">
      <x:c r="A22" s="26" t="str">
        <x:v>  Сопровождение ремонта</x:v>
      </x:c>
      <x:c r="B22" s="26" t="str">
        <x:v>Работа руководителей проектов, технадзор и контроль</x:v>
      </x:c>
      <x:c r="C22" s="63" t="n">
        <x:f>SUM(I22:T22)</x:f>
        <x:v>-10237500</x:v>
      </x:c>
      <x:c r="D22" s="67" t="n">
        <x:f>SUM(U22:AF22)</x:f>
        <x:v>-12302499.999996115</x:v>
      </x:c>
      <x:c r="E22" s="71" t="n">
        <x:f>SUM(AG22:AR22)</x:f>
        <x:v>-11759999.999993764</x:v>
      </x:c>
      <x:c r="F22" s="75" t="n">
        <x:f>SUM(AS22:BD22)</x:f>
        <x:v>-9239999.999997621</x:v>
      </x:c>
      <x:c r="G22" s="79" t="n">
        <x:f>SUM(BE22:BP22)</x:f>
        <x:v>-5068000.000000096</x:v>
      </x:c>
      <x:c r="H22" s="58"/>
      <x:c r="I22" s="58" t="n">
        <x:f>-I14*Assumptions!$C$25</x:f>
        <x:v>-767812.5</x:v>
      </x:c>
      <x:c r="J22" s="58" t="n">
        <x:f>-J14*Assumptions!$C$25</x:f>
        <x:v>-778050</x:v>
      </x:c>
      <x:c r="K22" s="58" t="n">
        <x:f>-K14*Assumptions!$C$25</x:f>
        <x:v>-788287.5</x:v>
      </x:c>
      <x:c r="L22" s="58" t="n">
        <x:f>-L14*Assumptions!$C$25</x:f>
        <x:v>-808762.5</x:v>
      </x:c>
      <x:c r="M22" s="58" t="n">
        <x:f>-M14*Assumptions!$C$25</x:f>
        <x:v>-819000</x:v>
      </x:c>
      <x:c r="N22" s="58" t="n">
        <x:f>-N14*Assumptions!$C$25</x:f>
        <x:v>-829237.5</x:v>
      </x:c>
      <x:c r="O22" s="58" t="n">
        <x:f>-O14*Assumptions!$C$25</x:f>
        <x:v>-849712.5</x:v>
      </x:c>
      <x:c r="P22" s="58" t="n">
        <x:f>-P14*Assumptions!$C$25</x:f>
        <x:v>-859950</x:v>
      </x:c>
      <x:c r="Q22" s="58" t="n">
        <x:f>-Q14*Assumptions!$C$25</x:f>
        <x:v>-880425</x:v>
      </x:c>
      <x:c r="R22" s="58" t="n">
        <x:f>-R14*Assumptions!$C$25</x:f>
        <x:v>-900900</x:v>
      </x:c>
      <x:c r="S22" s="58" t="n">
        <x:f>-S14*Assumptions!$C$25</x:f>
        <x:v>-962324.9999999999</x:v>
      </x:c>
      <x:c r="T22" s="58" t="n">
        <x:f>-T14*Assumptions!$C$25</x:f>
        <x:v>-993037.4999999999</x:v>
      </x:c>
      <x:c r="U22" s="58" t="n">
        <x:f>-U14*Assumptions!$C$25</x:f>
        <x:v>-922687.4999997085</x:v>
      </x:c>
      <x:c r="V22" s="58" t="n">
        <x:f>-V14*Assumptions!$C$25</x:f>
        <x:v>-934989.9999997047</x:v>
      </x:c>
      <x:c r="W22" s="58" t="n">
        <x:f>-W14*Assumptions!$C$25</x:f>
        <x:v>-947292.4999997008</x:v>
      </x:c>
      <x:c r="X22" s="58" t="n">
        <x:f>-X14*Assumptions!$C$25</x:f>
        <x:v>-971897.499999693</x:v>
      </x:c>
      <x:c r="Y22" s="58" t="n">
        <x:f>-Y14*Assumptions!$C$25</x:f>
        <x:v>-984199.9999996893</x:v>
      </x:c>
      <x:c r="Z22" s="58" t="n">
        <x:f>-Z14*Assumptions!$C$25</x:f>
        <x:v>-996502.4999996852</x:v>
      </x:c>
      <x:c r="AA22" s="58" t="n">
        <x:f>-AA14*Assumptions!$C$25</x:f>
        <x:v>-1021107.4999996775</x:v>
      </x:c>
      <x:c r="AB22" s="58" t="n">
        <x:f>-AB14*Assumptions!$C$25</x:f>
        <x:v>-1033409.9999996737</x:v>
      </x:c>
      <x:c r="AC22" s="58" t="n">
        <x:f>-AC14*Assumptions!$C$25</x:f>
        <x:v>-1058014.9999996657</x:v>
      </x:c>
      <x:c r="AD22" s="58" t="n">
        <x:f>-AD14*Assumptions!$C$25</x:f>
        <x:v>-1082619.999999658</x:v>
      </x:c>
      <x:c r="AE22" s="58" t="n">
        <x:f>-AE14*Assumptions!$C$25</x:f>
        <x:v>-1156434.9999996347</x:v>
      </x:c>
      <x:c r="AF22" s="58" t="n">
        <x:f>-AF14*Assumptions!$C$25</x:f>
        <x:v>-1193342.499999623</x:v>
      </x:c>
      <x:c r="AG22" s="58" t="n">
        <x:f>-AG14*Assumptions!$C$25</x:f>
        <x:v>-881999.9999995324</x:v>
      </x:c>
      <x:c r="AH22" s="58" t="n">
        <x:f>-AH14*Assumptions!$C$25</x:f>
        <x:v>-893759.9999995262</x:v>
      </x:c>
      <x:c r="AI22" s="58" t="n">
        <x:f>-AI14*Assumptions!$C$25</x:f>
        <x:v>-905519.99999952</x:v>
      </x:c>
      <x:c r="AJ22" s="58" t="n">
        <x:f>-AJ14*Assumptions!$C$25</x:f>
        <x:v>-929039.9999995076</x:v>
      </x:c>
      <x:c r="AK22" s="58" t="n">
        <x:f>-AK14*Assumptions!$C$25</x:f>
        <x:v>-940799.9999995012</x:v>
      </x:c>
      <x:c r="AL22" s="58" t="n">
        <x:f>-AL14*Assumptions!$C$25</x:f>
        <x:v>-952559.999999495</x:v>
      </x:c>
      <x:c r="AM22" s="58" t="n">
        <x:f>-AM14*Assumptions!$C$25</x:f>
        <x:v>-976079.9999994827</x:v>
      </x:c>
      <x:c r="AN22" s="58" t="n">
        <x:f>-AN14*Assumptions!$C$25</x:f>
        <x:v>-987839.9999994765</x:v>
      </x:c>
      <x:c r="AO22" s="58" t="n">
        <x:f>-AO14*Assumptions!$C$25</x:f>
        <x:v>-1011359.9999994637</x:v>
      </x:c>
      <x:c r="AP22" s="58" t="n">
        <x:f>-AP14*Assumptions!$C$25</x:f>
        <x:v>-1034879.9999994513</x:v>
      </x:c>
      <x:c r="AQ22" s="58" t="n">
        <x:f>-AQ14*Assumptions!$C$25</x:f>
        <x:v>-1105439.999999414</x:v>
      </x:c>
      <x:c r="AR22" s="58" t="n">
        <x:f>-AR14*Assumptions!$C$25</x:f>
        <x:v>-1140719.9999993953</x:v>
      </x:c>
      <x:c r="AS22" s="58" t="n">
        <x:f>-AS14*Assumptions!$C$25</x:f>
        <x:v>-692999.9999998217</x:v>
      </x:c>
      <x:c r="AT22" s="58" t="n">
        <x:f>-AT14*Assumptions!$C$25</x:f>
        <x:v>-702239.9999998193</x:v>
      </x:c>
      <x:c r="AU22" s="58" t="n">
        <x:f>-AU14*Assumptions!$C$25</x:f>
        <x:v>-711479.9999998169</x:v>
      </x:c>
      <x:c r="AV22" s="58" t="n">
        <x:f>-AV14*Assumptions!$C$25</x:f>
        <x:v>-729959.9999998122</x:v>
      </x:c>
      <x:c r="AW22" s="58" t="n">
        <x:f>-AW14*Assumptions!$C$25</x:f>
        <x:v>-739199.9999998098</x:v>
      </x:c>
      <x:c r="AX22" s="58" t="n">
        <x:f>-AX14*Assumptions!$C$25</x:f>
        <x:v>-748439.9999998074</x:v>
      </x:c>
      <x:c r="AY22" s="58" t="n">
        <x:f>-AY14*Assumptions!$C$25</x:f>
        <x:v>-766919.9999998026</x:v>
      </x:c>
      <x:c r="AZ22" s="58" t="n">
        <x:f>-AZ14*Assumptions!$C$25</x:f>
        <x:v>-776159.9999998003</x:v>
      </x:c>
      <x:c r="BA22" s="58" t="n">
        <x:f>-BA14*Assumptions!$C$25</x:f>
        <x:v>-794639.9999997955</x:v>
      </x:c>
      <x:c r="BB22" s="58" t="n">
        <x:f>-BB14*Assumptions!$C$25</x:f>
        <x:v>-813119.9999997907</x:v>
      </x:c>
      <x:c r="BC22" s="58" t="n">
        <x:f>-BC14*Assumptions!$C$25</x:f>
        <x:v>-868559.9999997765</x:v>
      </x:c>
      <x:c r="BD22" s="58" t="n">
        <x:f>-BD14*Assumptions!$C$25</x:f>
        <x:v>-896279.9999997695</x:v>
      </x:c>
      <x:c r="BE22" s="58" t="n">
        <x:f>-BE14*Assumptions!$C$25</x:f>
        <x:v>-380100.00000000716</x:v>
      </x:c>
      <x:c r="BF22" s="58" t="n">
        <x:f>-BF14*Assumptions!$C$25</x:f>
        <x:v>-385168.00000000733</x:v>
      </x:c>
      <x:c r="BG22" s="58" t="n">
        <x:f>-BG14*Assumptions!$C$25</x:f>
        <x:v>-390236.0000000074</x:v>
      </x:c>
      <x:c r="BH22" s="58" t="n">
        <x:f>-BH14*Assumptions!$C$25</x:f>
        <x:v>-400372.00000000757</x:v>
      </x:c>
      <x:c r="BI22" s="58" t="n">
        <x:f>-BI14*Assumptions!$C$25</x:f>
        <x:v>-405440.0000000076</x:v>
      </x:c>
      <x:c r="BJ22" s="58" t="n">
        <x:f>-BJ14*Assumptions!$C$25</x:f>
        <x:v>-410508.00000000774</x:v>
      </x:c>
      <x:c r="BK22" s="58" t="n">
        <x:f>-BK14*Assumptions!$C$25</x:f>
        <x:v>-420644.000000008</x:v>
      </x:c>
      <x:c r="BL22" s="58" t="n">
        <x:f>-BL14*Assumptions!$C$25</x:f>
        <x:v>-425712.00000000803</x:v>
      </x:c>
      <x:c r="BM22" s="58" t="n">
        <x:f>-BM14*Assumptions!$C$25</x:f>
        <x:v>-435848.0000000082</x:v>
      </x:c>
      <x:c r="BN22" s="58" t="n">
        <x:f>-BN14*Assumptions!$C$25</x:f>
        <x:v>-445984.0000000084</x:v>
      </x:c>
      <x:c r="BO22" s="58" t="n">
        <x:f>-BO14*Assumptions!$C$25</x:f>
        <x:v>-476392.0000000089</x:v>
      </x:c>
      <x:c r="BP22" s="58" t="n">
        <x:f>-BP14*Assumptions!$C$25</x:f>
        <x:v>-491596.00000000926</x:v>
      </x:c>
    </x:row>
    <x:row r="23">
      <x:c r="A23" s="26" t="str">
        <x:v>  Обучение</x:v>
      </x:c>
      <x:c r="B23" s="26" t="str">
        <x:v>Кураторы и производство программы</x:v>
      </x:c>
      <x:c r="C23" s="63" t="n">
        <x:f>SUM(I23:T23)</x:f>
        <x:v>-812500</x:v>
      </x:c>
      <x:c r="D23" s="67" t="n">
        <x:f>SUM(U23:AF23)</x:f>
        <x:v>-1187499.9999996254</x:v>
      </x:c>
      <x:c r="E23" s="71" t="n">
        <x:f>SUM(AG23:AR23)</x:f>
        <x:v>-1749999.9999990724</x:v>
      </x:c>
      <x:c r="F23" s="75" t="n">
        <x:f>SUM(AS23:BD23)</x:f>
        <x:v>-2749999.9999992927</x:v>
      </x:c>
      <x:c r="G23" s="79" t="n">
        <x:f>SUM(BE23:BP23)</x:f>
        <x:v>-2715000.000000051</x:v>
      </x:c>
      <x:c r="H23" s="58"/>
      <x:c r="I23" s="58" t="n">
        <x:f>-I15*Assumptions!$C$26</x:f>
        <x:v>-60937.5</x:v>
      </x:c>
      <x:c r="J23" s="58" t="n">
        <x:f>-J15*Assumptions!$C$26</x:f>
        <x:v>-61750</x:v>
      </x:c>
      <x:c r="K23" s="58" t="n">
        <x:f>-K15*Assumptions!$C$26</x:f>
        <x:v>-62562.5</x:v>
      </x:c>
      <x:c r="L23" s="58" t="n">
        <x:f>-L15*Assumptions!$C$26</x:f>
        <x:v>-64187.5</x:v>
      </x:c>
      <x:c r="M23" s="58" t="n">
        <x:f>-M15*Assumptions!$C$26</x:f>
        <x:v>-65000</x:v>
      </x:c>
      <x:c r="N23" s="58" t="n">
        <x:f>-N15*Assumptions!$C$26</x:f>
        <x:v>-65812.5</x:v>
      </x:c>
      <x:c r="O23" s="58" t="n">
        <x:f>-O15*Assumptions!$C$26</x:f>
        <x:v>-67437.5</x:v>
      </x:c>
      <x:c r="P23" s="58" t="n">
        <x:f>-P15*Assumptions!$C$26</x:f>
        <x:v>-68250</x:v>
      </x:c>
      <x:c r="Q23" s="58" t="n">
        <x:f>-Q15*Assumptions!$C$26</x:f>
        <x:v>-69875</x:v>
      </x:c>
      <x:c r="R23" s="58" t="n">
        <x:f>-R15*Assumptions!$C$26</x:f>
        <x:v>-71500</x:v>
      </x:c>
      <x:c r="S23" s="58" t="n">
        <x:f>-S15*Assumptions!$C$26</x:f>
        <x:v>-76375</x:v>
      </x:c>
      <x:c r="T23" s="58" t="n">
        <x:f>-T15*Assumptions!$C$26</x:f>
        <x:v>-78812.5</x:v>
      </x:c>
      <x:c r="U23" s="58" t="n">
        <x:f>-U15*Assumptions!$C$26</x:f>
        <x:v>-89062.49999997189</x:v>
      </x:c>
      <x:c r="V23" s="58" t="n">
        <x:f>-V15*Assumptions!$C$26</x:f>
        <x:v>-90249.99999997151</x:v>
      </x:c>
      <x:c r="W23" s="58" t="n">
        <x:f>-W15*Assumptions!$C$26</x:f>
        <x:v>-91437.49999997113</x:v>
      </x:c>
      <x:c r="X23" s="58" t="n">
        <x:f>-X15*Assumptions!$C$26</x:f>
        <x:v>-93812.49999997039</x:v>
      </x:c>
      <x:c r="Y23" s="58" t="n">
        <x:f>-Y15*Assumptions!$C$26</x:f>
        <x:v>-94999.99999997002</x:v>
      </x:c>
      <x:c r="Z23" s="58" t="n">
        <x:f>-Z15*Assumptions!$C$26</x:f>
        <x:v>-96187.49999996963</x:v>
      </x:c>
      <x:c r="AA23" s="58" t="n">
        <x:f>-AA15*Assumptions!$C$26</x:f>
        <x:v>-98562.49999996889</x:v>
      </x:c>
      <x:c r="AB23" s="58" t="n">
        <x:f>-AB15*Assumptions!$C$26</x:f>
        <x:v>-99749.99999996851</x:v>
      </x:c>
      <x:c r="AC23" s="58" t="n">
        <x:f>-AC15*Assumptions!$C$26</x:f>
        <x:v>-102124.99999996775</x:v>
      </x:c>
      <x:c r="AD23" s="58" t="n">
        <x:f>-AD15*Assumptions!$C$26</x:f>
        <x:v>-104499.999999967</x:v>
      </x:c>
      <x:c r="AE23" s="58" t="n">
        <x:f>-AE15*Assumptions!$C$26</x:f>
        <x:v>-111624.99999996476</x:v>
      </x:c>
      <x:c r="AF23" s="58" t="n">
        <x:f>-AF15*Assumptions!$C$26</x:f>
        <x:v>-115187.49999996363</x:v>
      </x:c>
      <x:c r="AG23" s="58" t="n">
        <x:f>-AG15*Assumptions!$C$26</x:f>
        <x:v>-131249.99999993044</x:v>
      </x:c>
      <x:c r="AH23" s="58" t="n">
        <x:f>-AH15*Assumptions!$C$26</x:f>
        <x:v>-132999.9999999295</x:v>
      </x:c>
      <x:c r="AI23" s="58" t="n">
        <x:f>-AI15*Assumptions!$C$26</x:f>
        <x:v>-134749.99999992858</x:v>
      </x:c>
      <x:c r="AJ23" s="58" t="n">
        <x:f>-AJ15*Assumptions!$C$26</x:f>
        <x:v>-138249.99999992675</x:v>
      </x:c>
      <x:c r="AK23" s="58" t="n">
        <x:f>-AK15*Assumptions!$C$26</x:f>
        <x:v>-139999.9999999258</x:v>
      </x:c>
      <x:c r="AL23" s="58" t="n">
        <x:f>-AL15*Assumptions!$C$26</x:f>
        <x:v>-141749.99999992488</x:v>
      </x:c>
      <x:c r="AM23" s="58" t="n">
        <x:f>-AM15*Assumptions!$C$26</x:f>
        <x:v>-145249.99999992302</x:v>
      </x:c>
      <x:c r="AN23" s="58" t="n">
        <x:f>-AN15*Assumptions!$C$26</x:f>
        <x:v>-146999.9999999221</x:v>
      </x:c>
      <x:c r="AO23" s="58" t="n">
        <x:f>-AO15*Assumptions!$C$26</x:f>
        <x:v>-150499.99999992023</x:v>
      </x:c>
      <x:c r="AP23" s="58" t="n">
        <x:f>-AP15*Assumptions!$C$26</x:f>
        <x:v>-153999.99999991836</x:v>
      </x:c>
      <x:c r="AQ23" s="58" t="n">
        <x:f>-AQ15*Assumptions!$C$26</x:f>
        <x:v>-164499.9999999128</x:v>
      </x:c>
      <x:c r="AR23" s="58" t="n">
        <x:f>-AR15*Assumptions!$C$26</x:f>
        <x:v>-169749.99999991004</x:v>
      </x:c>
      <x:c r="AS23" s="58" t="n">
        <x:f>-AS15*Assumptions!$C$26</x:f>
        <x:v>-206249.99999994694</x:v>
      </x:c>
      <x:c r="AT23" s="58" t="n">
        <x:f>-AT15*Assumptions!$C$26</x:f>
        <x:v>-208999.99999994625</x:v>
      </x:c>
      <x:c r="AU23" s="58" t="n">
        <x:f>-AU15*Assumptions!$C$26</x:f>
        <x:v>-211749.99999994552</x:v>
      </x:c>
      <x:c r="AV23" s="58" t="n">
        <x:f>-AV15*Assumptions!$C$26</x:f>
        <x:v>-217249.99999994412</x:v>
      </x:c>
      <x:c r="AW23" s="58" t="n">
        <x:f>-AW15*Assumptions!$C$26</x:f>
        <x:v>-219999.99999994342</x:v>
      </x:c>
      <x:c r="AX23" s="58" t="n">
        <x:f>-AX15*Assumptions!$C$26</x:f>
        <x:v>-222749.99999994272</x:v>
      </x:c>
      <x:c r="AY23" s="58" t="n">
        <x:f>-AY15*Assumptions!$C$26</x:f>
        <x:v>-228249.9999999413</x:v>
      </x:c>
      <x:c r="AZ23" s="58" t="n">
        <x:f>-AZ15*Assumptions!$C$26</x:f>
        <x:v>-230999.9999999406</x:v>
      </x:c>
      <x:c r="BA23" s="58" t="n">
        <x:f>-BA15*Assumptions!$C$26</x:f>
        <x:v>-236499.99999993914</x:v>
      </x:c>
      <x:c r="BB23" s="58" t="n">
        <x:f>-BB15*Assumptions!$C$26</x:f>
        <x:v>-241999.99999993775</x:v>
      </x:c>
      <x:c r="BC23" s="58" t="n">
        <x:f>-BC15*Assumptions!$C$26</x:f>
        <x:v>-258499.99999993353</x:v>
      </x:c>
      <x:c r="BD23" s="58" t="n">
        <x:f>-BD15*Assumptions!$C$26</x:f>
        <x:v>-266749.99999993143</x:v>
      </x:c>
      <x:c r="BE23" s="58" t="n">
        <x:f>-BE15*Assumptions!$C$26</x:f>
        <x:v>-203625.00000000384</x:v>
      </x:c>
      <x:c r="BF23" s="58" t="n">
        <x:f>-BF15*Assumptions!$C$26</x:f>
        <x:v>-206340.0000000039</x:v>
      </x:c>
      <x:c r="BG23" s="58" t="n">
        <x:f>-BG15*Assumptions!$C$26</x:f>
        <x:v>-209055.00000000396</x:v>
      </x:c>
      <x:c r="BH23" s="58" t="n">
        <x:f>-BH15*Assumptions!$C$26</x:f>
        <x:v>-214485.00000000405</x:v>
      </x:c>
      <x:c r="BI23" s="58" t="n">
        <x:f>-BI15*Assumptions!$C$26</x:f>
        <x:v>-217200.0000000041</x:v>
      </x:c>
      <x:c r="BJ23" s="58" t="n">
        <x:f>-BJ15*Assumptions!$C$26</x:f>
        <x:v>-219915.00000000416</x:v>
      </x:c>
      <x:c r="BK23" s="58" t="n">
        <x:f>-BK15*Assumptions!$C$26</x:f>
        <x:v>-225345.00000000428</x:v>
      </x:c>
      <x:c r="BL23" s="58" t="n">
        <x:f>-BL15*Assumptions!$C$26</x:f>
        <x:v>-228060.00000000434</x:v>
      </x:c>
      <x:c r="BM23" s="58" t="n">
        <x:f>-BM15*Assumptions!$C$26</x:f>
        <x:v>-233490.0000000044</x:v>
      </x:c>
      <x:c r="BN23" s="58" t="n">
        <x:f>-BN15*Assumptions!$C$26</x:f>
        <x:v>-238920.00000000448</x:v>
      </x:c>
      <x:c r="BO23" s="58" t="n">
        <x:f>-BO15*Assumptions!$C$26</x:f>
        <x:v>-255210.0000000048</x:v>
      </x:c>
      <x:c r="BP23" s="58" t="n">
        <x:f>-BP15*Assumptions!$C$26</x:f>
        <x:v>-263355.00000000495</x:v>
      </x:c>
    </x:row>
    <x:row r="24">
      <x:c r="A24" s="26"/>
      <x:c r="B24" s="26"/>
      <x:c r="C24" s="63"/>
      <x:c r="D24" s="67"/>
      <x:c r="E24" s="71"/>
      <x:c r="F24" s="75"/>
      <x:c r="G24" s="79"/>
      <x:c r="H24" s="58"/>
      <x:c r="I24" s="58"/>
      <x:c r="J24" s="58"/>
      <x:c r="K24" s="58"/>
      <x:c r="L24" s="58"/>
      <x:c r="M24" s="58"/>
      <x:c r="N24" s="58"/>
      <x:c r="O24" s="58"/>
      <x:c r="P24" s="58"/>
      <x:c r="Q24" s="58"/>
      <x:c r="R24" s="58"/>
      <x:c r="S24" s="58"/>
      <x:c r="T24" s="58"/>
      <x:c r="U24" s="58"/>
      <x:c r="V24" s="58"/>
      <x:c r="W24" s="58"/>
      <x:c r="X24" s="58"/>
      <x:c r="Y24" s="58"/>
      <x:c r="Z24" s="58"/>
      <x:c r="AA24" s="58"/>
      <x:c r="AB24" s="58"/>
      <x:c r="AC24" s="58"/>
      <x:c r="AD24" s="58"/>
      <x:c r="AE24" s="58"/>
      <x:c r="AF24" s="58"/>
      <x:c r="AG24" s="58"/>
      <x:c r="AH24" s="58"/>
      <x:c r="AI24" s="58"/>
      <x:c r="AJ24" s="58"/>
      <x:c r="AK24" s="58"/>
      <x:c r="AL24" s="58"/>
      <x:c r="AM24" s="58"/>
      <x:c r="AN24" s="58"/>
      <x:c r="AO24" s="58"/>
      <x:c r="AP24" s="58"/>
      <x:c r="AQ24" s="58"/>
      <x:c r="AR24" s="58"/>
      <x:c r="AS24" s="58"/>
      <x:c r="AT24" s="58"/>
      <x:c r="AU24" s="58"/>
      <x:c r="AV24" s="58"/>
      <x:c r="AW24" s="58"/>
      <x:c r="AX24" s="58"/>
      <x:c r="AY24" s="58"/>
      <x:c r="AZ24" s="58"/>
      <x:c r="BA24" s="58"/>
      <x:c r="BB24" s="58"/>
      <x:c r="BC24" s="58"/>
      <x:c r="BD24" s="58"/>
      <x:c r="BE24" s="58"/>
      <x:c r="BF24" s="58"/>
      <x:c r="BG24" s="58"/>
      <x:c r="BH24" s="58"/>
      <x:c r="BI24" s="58"/>
      <x:c r="BJ24" s="58"/>
      <x:c r="BK24" s="58"/>
      <x:c r="BL24" s="58"/>
      <x:c r="BM24" s="58"/>
      <x:c r="BN24" s="58"/>
      <x:c r="BO24" s="58"/>
      <x:c r="BP24" s="58"/>
    </x:row>
    <x:row r="25">
      <x:c r="A25" s="114" t="str">
        <x:v>ВАЛОВАЯ ПРИБЫЛЬ</x:v>
      </x:c>
      <x:c r="B25" s="114" t="str">
        <x:v>Выручка минус прямые затраты</x:v>
      </x:c>
      <x:c r="C25" s="119" t="n">
        <x:f>SUM(I25:T25)</x:f>
        <x:v>44590000</x:v>
      </x:c>
      <x:c r="D25" s="122" t="n">
        <x:f>SUM(U25:AF25)</x:f>
        <x:v>66357499.99997906</x:v>
      </x:c>
      <x:c r="E25" s="124" t="n">
        <x:f>SUM(AG25:AR25)</x:f>
        <x:v>100379999.9999468</x:v>
      </x:c>
      <x:c r="F25" s="127" t="n">
        <x:f>SUM(AS25:BD25)</x:f>
        <x:v>161369999.9999585</x:v>
      </x:c>
      <x:c r="G25" s="130" t="n">
        <x:f>SUM(BE25:BP25)</x:f>
        <x:v>271319000.0000051</x:v>
      </x:c>
      <x:c r="H25" s="116"/>
      <x:c r="I25" s="116" t="n">
        <x:f>I7+I17</x:f>
        <x:v>3344250</x:v>
      </x:c>
      <x:c r="J25" s="116" t="n">
        <x:f>J7+J17</x:f>
        <x:v>3388840</x:v>
      </x:c>
      <x:c r="K25" s="116" t="n">
        <x:f>K7+K17</x:f>
        <x:v>3433430</x:v>
      </x:c>
      <x:c r="L25" s="116" t="n">
        <x:f>L7+L17</x:f>
        <x:v>3522610</x:v>
      </x:c>
      <x:c r="M25" s="116" t="n">
        <x:f>M7+M17</x:f>
        <x:v>3567200</x:v>
      </x:c>
      <x:c r="N25" s="116" t="n">
        <x:f>N7+N17</x:f>
        <x:v>3611790</x:v>
      </x:c>
      <x:c r="O25" s="116" t="n">
        <x:f>O7+O17</x:f>
        <x:v>3700970</x:v>
      </x:c>
      <x:c r="P25" s="116" t="n">
        <x:f>P7+P17</x:f>
        <x:v>3745560</x:v>
      </x:c>
      <x:c r="Q25" s="116" t="n">
        <x:f>Q7+Q17</x:f>
        <x:v>3834740</x:v>
      </x:c>
      <x:c r="R25" s="116" t="n">
        <x:f>R7+R17</x:f>
        <x:v>3923920</x:v>
      </x:c>
      <x:c r="S25" s="116" t="n">
        <x:f>S7+S17</x:f>
        <x:v>4191460</x:v>
      </x:c>
      <x:c r="T25" s="116" t="n">
        <x:f>T7+T17</x:f>
        <x:v>4325230</x:v>
      </x:c>
      <x:c r="U25" s="116" t="n">
        <x:f>U7+U17</x:f>
        <x:v>4976812.499998428</x:v>
      </x:c>
      <x:c r="V25" s="116" t="n">
        <x:f>V7+V17</x:f>
        <x:v>5043169.999998407</x:v>
      </x:c>
      <x:c r="W25" s="116" t="n">
        <x:f>W7+W17</x:f>
        <x:v>5109527.499998387</x:v>
      </x:c>
      <x:c r="X25" s="116" t="n">
        <x:f>X7+X17</x:f>
        <x:v>5242242.499998346</x:v>
      </x:c>
      <x:c r="Y25" s="116" t="n">
        <x:f>Y7+Y17</x:f>
        <x:v>5308599.999998324</x:v>
      </x:c>
      <x:c r="Z25" s="116" t="n">
        <x:f>Z7+Z17</x:f>
        <x:v>5374957.499998303</x:v>
      </x:c>
      <x:c r="AA25" s="116" t="n">
        <x:f>AA7+AA17</x:f>
        <x:v>5507672.499998262</x:v>
      </x:c>
      <x:c r="AB25" s="116" t="n">
        <x:f>AB7+AB17</x:f>
        <x:v>5574029.99999824</x:v>
      </x:c>
      <x:c r="AC25" s="116" t="n">
        <x:f>AC7+AC17</x:f>
        <x:v>5706744.999998197</x:v>
      </x:c>
      <x:c r="AD25" s="116" t="n">
        <x:f>AD7+AD17</x:f>
        <x:v>5839459.999998156</x:v>
      </x:c>
      <x:c r="AE25" s="116" t="n">
        <x:f>AE7+AE17</x:f>
        <x:v>6237604.99999803</x:v>
      </x:c>
      <x:c r="AF25" s="116" t="n">
        <x:f>AF7+AF17</x:f>
        <x:v>6436677.499997968</x:v>
      </x:c>
      <x:c r="AG25" s="116" t="n">
        <x:f>AG7+AG17</x:f>
        <x:v>7528499.999996009</x:v>
      </x:c>
      <x:c r="AH25" s="116" t="n">
        <x:f>AH7+AH17</x:f>
        <x:v>7628879.999995956</x:v>
      </x:c>
      <x:c r="AI25" s="116" t="n">
        <x:f>AI7+AI17</x:f>
        <x:v>7729259.999995902</x:v>
      </x:c>
      <x:c r="AJ25" s="116" t="n">
        <x:f>AJ7+AJ17</x:f>
        <x:v>7930019.999995797</x:v>
      </x:c>
      <x:c r="AK25" s="116" t="n">
        <x:f>AK7+AK17</x:f>
        <x:v>8030399.999995744</x:v>
      </x:c>
      <x:c r="AL25" s="116" t="n">
        <x:f>AL7+AL17</x:f>
        <x:v>8130779.99999569</x:v>
      </x:c>
      <x:c r="AM25" s="116" t="n">
        <x:f>AM7+AM17</x:f>
        <x:v>8331539.9999955855</x:v>
      </x:c>
      <x:c r="AN25" s="116" t="n">
        <x:f>AN7+AN17</x:f>
        <x:v>8431919.999995532</x:v>
      </x:c>
      <x:c r="AO25" s="116" t="n">
        <x:f>AO7+AO17</x:f>
        <x:v>8632679.999995423</x:v>
      </x:c>
      <x:c r="AP25" s="116" t="n">
        <x:f>AP7+AP17</x:f>
        <x:v>8833439.999995317</x:v>
      </x:c>
      <x:c r="AQ25" s="116" t="n">
        <x:f>AQ7+AQ17</x:f>
        <x:v>9435719.999994999</x:v>
      </x:c>
      <x:c r="AR25" s="116" t="n">
        <x:f>AR7+AR17</x:f>
        <x:v>9736859.99999484</x:v>
      </x:c>
      <x:c r="AS25" s="116" t="n">
        <x:f>AS7+AS17</x:f>
        <x:v>12102749.999996886</x:v>
      </x:c>
      <x:c r="AT25" s="116" t="n">
        <x:f>AT7+AT17</x:f>
        <x:v>12264119.999996845</x:v>
      </x:c>
      <x:c r="AU25" s="116" t="n">
        <x:f>AU7+AU17</x:f>
        <x:v>12425489.999996804</x:v>
      </x:c>
      <x:c r="AV25" s="116" t="n">
        <x:f>AV7+AV17</x:f>
        <x:v>12748229.999996722</x:v>
      </x:c>
      <x:c r="AW25" s="116" t="n">
        <x:f>AW7+AW17</x:f>
        <x:v>12909599.99999668</x:v>
      </x:c>
      <x:c r="AX25" s="116" t="n">
        <x:f>AX7+AX17</x:f>
        <x:v>13070969.99999664</x:v>
      </x:c>
      <x:c r="AY25" s="116" t="n">
        <x:f>AY7+AY17</x:f>
        <x:v>13393709.999996554</x:v>
      </x:c>
      <x:c r="AZ25" s="116" t="n">
        <x:f>AZ7+AZ17</x:f>
        <x:v>13555079.999996513</x:v>
      </x:c>
      <x:c r="BA25" s="116" t="n">
        <x:f>BA7+BA17</x:f>
        <x:v>13877819.999996427</x:v>
      </x:c>
      <x:c r="BB25" s="116" t="n">
        <x:f>BB7+BB17</x:f>
        <x:v>14200559.999996347</x:v>
      </x:c>
      <x:c r="BC25" s="116" t="n">
        <x:f>BC7+BC17</x:f>
        <x:v>15168779.999996098</x:v>
      </x:c>
      <x:c r="BD25" s="116" t="n">
        <x:f>BD7+BD17</x:f>
        <x:v>15652889.999995975</x:v>
      </x:c>
      <x:c r="BE25" s="116" t="n">
        <x:f>BE7+BE17</x:f>
        <x:v>20348925.000000387</x:v>
      </x:c>
      <x:c r="BF25" s="116" t="n">
        <x:f>BF7+BF17</x:f>
        <x:v>20620244.00000039</x:v>
      </x:c>
      <x:c r="BG25" s="116" t="n">
        <x:f>BG7+BG17</x:f>
        <x:v>20891563.000000395</x:v>
      </x:c>
      <x:c r="BH25" s="116" t="n">
        <x:f>BH7+BH17</x:f>
        <x:v>21434201.000000406</x:v>
      </x:c>
      <x:c r="BI25" s="116" t="n">
        <x:f>BI7+BI17</x:f>
        <x:v>21705520.00000041</x:v>
      </x:c>
      <x:c r="BJ25" s="116" t="n">
        <x:f>BJ7+BJ17</x:f>
        <x:v>21976839.000000417</x:v>
      </x:c>
      <x:c r="BK25" s="116" t="n">
        <x:f>BK7+BK17</x:f>
        <x:v>22519477.000000425</x:v>
      </x:c>
      <x:c r="BL25" s="116" t="n">
        <x:f>BL7+BL17</x:f>
        <x:v>22790796.000000432</x:v>
      </x:c>
      <x:c r="BM25" s="116" t="n">
        <x:f>BM7+BM17</x:f>
        <x:v>23333434.00000044</x:v>
      </x:c>
      <x:c r="BN25" s="116" t="n">
        <x:f>BN7+BN17</x:f>
        <x:v>23876072.000000447</x:v>
      </x:c>
      <x:c r="BO25" s="116" t="n">
        <x:f>BO7+BO17</x:f>
        <x:v>25503986.000000477</x:v>
      </x:c>
      <x:c r="BP25" s="116" t="n">
        <x:f>BP7+BP17</x:f>
        <x:v>26317943.0000005</x:v>
      </x:c>
    </x:row>
    <x:row r="26">
      <x:c r="A26" s="26" t="str">
        <x:v>Валовая маржа</x:v>
      </x:c>
      <x:c r="B26" s="26" t="str">
        <x:v>Доля выручки после прямых затрат</x:v>
      </x:c>
      <x:c r="C26" s="65" t="n">
        <x:f>IF(C7=0,"n.a.",C25/C7)</x:f>
        <x:v>0.686</x:v>
      </x:c>
      <x:c r="D26" s="69" t="n">
        <x:f>IF(D7=0,"n.a.",D25/D7)</x:f>
        <x:v>0.6985</x:v>
      </x:c>
      <x:c r="E26" s="73" t="n">
        <x:f>IF(E7=0,"n.a.",E25/E7)</x:f>
        <x:v>0.7170000000000001</x:v>
      </x:c>
      <x:c r="F26" s="77" t="n">
        <x:f>IF(F7=0,"n.a.",F25/F7)</x:f>
        <x:v>0.7334999999999999</x:v>
      </x:c>
      <x:c r="G26" s="81" t="n">
        <x:f>IF(G7=0,"n.a.",G25/G7)</x:f>
        <x:v>0.7494999999999999</x:v>
      </x:c>
      <x:c r="H26" s="60"/>
      <x:c r="I26" s="60" t="n">
        <x:f>IF(I7=0,"n.a.",I25/I7)</x:f>
        <x:v>0.686</x:v>
      </x:c>
      <x:c r="J26" s="60" t="n">
        <x:f>IF(J7=0,"n.a.",J25/J7)</x:f>
        <x:v>0.686</x:v>
      </x:c>
      <x:c r="K26" s="60" t="n">
        <x:f>IF(K7=0,"n.a.",K25/K7)</x:f>
        <x:v>0.686</x:v>
      </x:c>
      <x:c r="L26" s="60" t="n">
        <x:f>IF(L7=0,"n.a.",L25/L7)</x:f>
        <x:v>0.686</x:v>
      </x:c>
      <x:c r="M26" s="60" t="n">
        <x:f>IF(M7=0,"n.a.",M25/M7)</x:f>
        <x:v>0.686</x:v>
      </x:c>
      <x:c r="N26" s="60" t="n">
        <x:f>IF(N7=0,"n.a.",N25/N7)</x:f>
        <x:v>0.686</x:v>
      </x:c>
      <x:c r="O26" s="60" t="n">
        <x:f>IF(O7=0,"n.a.",O25/O7)</x:f>
        <x:v>0.686</x:v>
      </x:c>
      <x:c r="P26" s="60" t="n">
        <x:f>IF(P7=0,"n.a.",P25/P7)</x:f>
        <x:v>0.686</x:v>
      </x:c>
      <x:c r="Q26" s="60" t="n">
        <x:f>IF(Q7=0,"n.a.",Q25/Q7)</x:f>
        <x:v>0.686</x:v>
      </x:c>
      <x:c r="R26" s="60" t="n">
        <x:f>IF(R7=0,"n.a.",R25/R7)</x:f>
        <x:v>0.686</x:v>
      </x:c>
      <x:c r="S26" s="60" t="n">
        <x:f>IF(S7=0,"n.a.",S25/S7)</x:f>
        <x:v>0.686</x:v>
      </x:c>
      <x:c r="T26" s="60" t="n">
        <x:f>IF(T7=0,"n.a.",T25/T7)</x:f>
        <x:v>0.686</x:v>
      </x:c>
      <x:c r="U26" s="60" t="n">
        <x:f>IF(U7=0,"n.a.",U25/U7)</x:f>
        <x:v>0.6984999999999999</x:v>
      </x:c>
      <x:c r="V26" s="60" t="n">
        <x:f>IF(V7=0,"n.a.",V25/V7)</x:f>
        <x:v>0.6985</x:v>
      </x:c>
      <x:c r="W26" s="60" t="n">
        <x:f>IF(W7=0,"n.a.",W25/W7)</x:f>
        <x:v>0.6985</x:v>
      </x:c>
      <x:c r="X26" s="60" t="n">
        <x:f>IF(X7=0,"n.a.",X25/X7)</x:f>
        <x:v>0.6985000000000001</x:v>
      </x:c>
      <x:c r="Y26" s="60" t="n">
        <x:f>IF(Y7=0,"n.a.",Y25/Y7)</x:f>
        <x:v>0.6984999999999999</x:v>
      </x:c>
      <x:c r="Z26" s="60" t="n">
        <x:f>IF(Z7=0,"n.a.",Z25/Z7)</x:f>
        <x:v>0.6985</x:v>
      </x:c>
      <x:c r="AA26" s="60" t="n">
        <x:f>IF(AA7=0,"n.a.",AA25/AA7)</x:f>
        <x:v>0.6985000000000001</x:v>
      </x:c>
      <x:c r="AB26" s="60" t="n">
        <x:f>IF(AB7=0,"n.a.",AB25/AB7)</x:f>
        <x:v>0.6984999999999999</x:v>
      </x:c>
      <x:c r="AC26" s="60" t="n">
        <x:f>IF(AC7=0,"n.a.",AC25/AC7)</x:f>
        <x:v>0.6984999999999999</x:v>
      </x:c>
      <x:c r="AD26" s="60" t="n">
        <x:f>IF(AD7=0,"n.a.",AD25/AD7)</x:f>
        <x:v>0.6985</x:v>
      </x:c>
      <x:c r="AE26" s="60" t="n">
        <x:f>IF(AE7=0,"n.a.",AE25/AE7)</x:f>
        <x:v>0.6985</x:v>
      </x:c>
      <x:c r="AF26" s="60" t="n">
        <x:f>IF(AF7=0,"n.a.",AF25/AF7)</x:f>
        <x:v>0.6985</x:v>
      </x:c>
      <x:c r="AG26" s="60" t="n">
        <x:f>IF(AG7=0,"n.a.",AG25/AG7)</x:f>
        <x:v>0.717</x:v>
      </x:c>
      <x:c r="AH26" s="60" t="n">
        <x:f>IF(AH7=0,"n.a.",AH25/AH7)</x:f>
        <x:v>0.717</x:v>
      </x:c>
      <x:c r="AI26" s="60" t="n">
        <x:f>IF(AI7=0,"n.a.",AI25/AI7)</x:f>
        <x:v>0.717</x:v>
      </x:c>
      <x:c r="AJ26" s="60" t="n">
        <x:f>IF(AJ7=0,"n.a.",AJ25/AJ7)</x:f>
        <x:v>0.717</x:v>
      </x:c>
      <x:c r="AK26" s="60" t="n">
        <x:f>IF(AK7=0,"n.a.",AK25/AK7)</x:f>
        <x:v>0.717</x:v>
      </x:c>
      <x:c r="AL26" s="60" t="n">
        <x:f>IF(AL7=0,"n.a.",AL25/AL7)</x:f>
        <x:v>0.717</x:v>
      </x:c>
      <x:c r="AM26" s="60" t="n">
        <x:f>IF(AM7=0,"n.a.",AM25/AM7)</x:f>
        <x:v>0.7170000000000001</x:v>
      </x:c>
      <x:c r="AN26" s="60" t="n">
        <x:f>IF(AN7=0,"n.a.",AN25/AN7)</x:f>
        <x:v>0.717</x:v>
      </x:c>
      <x:c r="AO26" s="60" t="n">
        <x:f>IF(AO7=0,"n.a.",AO25/AO7)</x:f>
        <x:v>0.717</x:v>
      </x:c>
      <x:c r="AP26" s="60" t="n">
        <x:f>IF(AP7=0,"n.a.",AP25/AP7)</x:f>
        <x:v>0.717</x:v>
      </x:c>
      <x:c r="AQ26" s="60" t="n">
        <x:f>IF(AQ7=0,"n.a.",AQ25/AQ7)</x:f>
        <x:v>0.717</x:v>
      </x:c>
      <x:c r="AR26" s="60" t="n">
        <x:f>IF(AR7=0,"n.a.",AR25/AR7)</x:f>
        <x:v>0.7170000000000001</x:v>
      </x:c>
      <x:c r="AS26" s="60" t="n">
        <x:f>IF(AS7=0,"n.a.",AS25/AS7)</x:f>
        <x:v>0.7334999999999999</x:v>
      </x:c>
      <x:c r="AT26" s="60" t="n">
        <x:f>IF(AT7=0,"n.a.",AT25/AT7)</x:f>
        <x:v>0.7334999999999999</x:v>
      </x:c>
      <x:c r="AU26" s="60" t="n">
        <x:f>IF(AU7=0,"n.a.",AU25/AU7)</x:f>
        <x:v>0.7335</x:v>
      </x:c>
      <x:c r="AV26" s="60" t="n">
        <x:f>IF(AV7=0,"n.a.",AV25/AV7)</x:f>
        <x:v>0.7335</x:v>
      </x:c>
      <x:c r="AW26" s="60" t="n">
        <x:f>IF(AW7=0,"n.a.",AW25/AW7)</x:f>
        <x:v>0.7335</x:v>
      </x:c>
      <x:c r="AX26" s="60" t="n">
        <x:f>IF(AX7=0,"n.a.",AX25/AX7)</x:f>
        <x:v>0.7335</x:v>
      </x:c>
      <x:c r="AY26" s="60" t="n">
        <x:f>IF(AY7=0,"n.a.",AY25/AY7)</x:f>
        <x:v>0.7335</x:v>
      </x:c>
      <x:c r="AZ26" s="60" t="n">
        <x:f>IF(AZ7=0,"n.a.",AZ25/AZ7)</x:f>
        <x:v>0.7335</x:v>
      </x:c>
      <x:c r="BA26" s="60" t="n">
        <x:f>IF(BA7=0,"n.a.",BA25/BA7)</x:f>
        <x:v>0.7334999999999999</x:v>
      </x:c>
      <x:c r="BB26" s="60" t="n">
        <x:f>IF(BB7=0,"n.a.",BB25/BB7)</x:f>
        <x:v>0.7335</x:v>
      </x:c>
      <x:c r="BC26" s="60" t="n">
        <x:f>IF(BC7=0,"n.a.",BC25/BC7)</x:f>
        <x:v>0.7335</x:v>
      </x:c>
      <x:c r="BD26" s="60" t="n">
        <x:f>IF(BD7=0,"n.a.",BD25/BD7)</x:f>
        <x:v>0.7335</x:v>
      </x:c>
      <x:c r="BE26" s="60" t="n">
        <x:f>IF(BE7=0,"n.a.",BE25/BE7)</x:f>
        <x:v>0.7495</x:v>
      </x:c>
      <x:c r="BF26" s="60" t="n">
        <x:f>IF(BF7=0,"n.a.",BF25/BF7)</x:f>
        <x:v>0.7495</x:v>
      </x:c>
      <x:c r="BG26" s="60" t="n">
        <x:f>IF(BG7=0,"n.a.",BG25/BG7)</x:f>
        <x:v>0.7494999999999999</x:v>
      </x:c>
      <x:c r="BH26" s="60" t="n">
        <x:f>IF(BH7=0,"n.a.",BH25/BH7)</x:f>
        <x:v>0.7495</x:v>
      </x:c>
      <x:c r="BI26" s="60" t="n">
        <x:f>IF(BI7=0,"n.a.",BI25/BI7)</x:f>
        <x:v>0.7494999999999999</x:v>
      </x:c>
      <x:c r="BJ26" s="60" t="n">
        <x:f>IF(BJ7=0,"n.a.",BJ25/BJ7)</x:f>
        <x:v>0.7495</x:v>
      </x:c>
      <x:c r="BK26" s="60" t="n">
        <x:f>IF(BK7=0,"n.a.",BK25/BK7)</x:f>
        <x:v>0.7494999999999999</x:v>
      </x:c>
      <x:c r="BL26" s="60" t="n">
        <x:f>IF(BL7=0,"n.a.",BL25/BL7)</x:f>
        <x:v>0.7494999999999999</x:v>
      </x:c>
      <x:c r="BM26" s="60" t="n">
        <x:f>IF(BM7=0,"n.a.",BM25/BM7)</x:f>
        <x:v>0.7494999999999999</x:v>
      </x:c>
      <x:c r="BN26" s="60" t="n">
        <x:f>IF(BN7=0,"n.a.",BN25/BN7)</x:f>
        <x:v>0.7494999999999999</x:v>
      </x:c>
      <x:c r="BO26" s="60" t="n">
        <x:f>IF(BO7=0,"n.a.",BO25/BO7)</x:f>
        <x:v>0.7494999999999999</x:v>
      </x:c>
      <x:c r="BP26" s="60" t="n">
        <x:f>IF(BP7=0,"n.a.",BP25/BP7)</x:f>
        <x:v>0.7495</x:v>
      </x:c>
    </x:row>
    <x:row r="27">
      <x:c r="A27" s="26"/>
      <x:c r="B27" s="26"/>
      <x:c r="C27" s="63"/>
      <x:c r="D27" s="67"/>
      <x:c r="E27" s="71"/>
      <x:c r="F27" s="75"/>
      <x:c r="G27" s="79"/>
      <x:c r="H27" s="58"/>
      <x:c r="I27" s="58"/>
      <x:c r="J27" s="58"/>
      <x:c r="K27" s="58"/>
      <x:c r="L27" s="58"/>
      <x:c r="M27" s="58"/>
      <x:c r="N27" s="58"/>
      <x:c r="O27" s="58"/>
      <x:c r="P27" s="58"/>
      <x:c r="Q27" s="58"/>
      <x:c r="R27" s="58"/>
      <x:c r="S27" s="58"/>
      <x:c r="T27" s="58"/>
      <x:c r="U27" s="58"/>
      <x:c r="V27" s="58"/>
      <x:c r="W27" s="58"/>
      <x:c r="X27" s="58"/>
      <x:c r="Y27" s="58"/>
      <x:c r="Z27" s="58"/>
      <x:c r="AA27" s="58"/>
      <x:c r="AB27" s="58"/>
      <x:c r="AC27" s="58"/>
      <x:c r="AD27" s="58"/>
      <x:c r="AE27" s="58"/>
      <x:c r="AF27" s="58"/>
      <x:c r="AG27" s="58"/>
      <x:c r="AH27" s="58"/>
      <x:c r="AI27" s="58"/>
      <x:c r="AJ27" s="58"/>
      <x:c r="AK27" s="58"/>
      <x:c r="AL27" s="58"/>
      <x:c r="AM27" s="58"/>
      <x:c r="AN27" s="58"/>
      <x:c r="AO27" s="58"/>
      <x:c r="AP27" s="58"/>
      <x:c r="AQ27" s="58"/>
      <x:c r="AR27" s="58"/>
      <x:c r="AS27" s="58"/>
      <x:c r="AT27" s="58"/>
      <x:c r="AU27" s="58"/>
      <x:c r="AV27" s="58"/>
      <x:c r="AW27" s="58"/>
      <x:c r="AX27" s="58"/>
      <x:c r="AY27" s="58"/>
      <x:c r="AZ27" s="58"/>
      <x:c r="BA27" s="58"/>
      <x:c r="BB27" s="58"/>
      <x:c r="BC27" s="58"/>
      <x:c r="BD27" s="58"/>
      <x:c r="BE27" s="58"/>
      <x:c r="BF27" s="58"/>
      <x:c r="BG27" s="58"/>
      <x:c r="BH27" s="58"/>
      <x:c r="BI27" s="58"/>
      <x:c r="BJ27" s="58"/>
      <x:c r="BK27" s="58"/>
      <x:c r="BL27" s="58"/>
      <x:c r="BM27" s="58"/>
      <x:c r="BN27" s="58"/>
      <x:c r="BO27" s="58"/>
      <x:c r="BP27" s="58"/>
    </x:row>
    <x:row r="28">
      <x:c r="A28" s="114" t="str">
        <x:v>ОПЕРАЦИОННЫЕ РАСХОДЫ</x:v>
      </x:c>
      <x:c r="B28" s="114" t="str">
        <x:v>Постоянные расходы на работу и развитие компании</x:v>
      </x:c>
      <x:c r="C28" s="119" t="n">
        <x:f>SUM(I28:T28)</x:f>
        <x:v>-12939000</x:v>
      </x:c>
      <x:c r="D28" s="122" t="n">
        <x:f>SUM(U28:AF28)</x:f>
        <x:v>-17973000</x:v>
      </x:c>
      <x:c r="E28" s="124" t="n">
        <x:f>SUM(AG28:AR28)</x:f>
        <x:v>-21406500</x:v>
      </x:c>
      <x:c r="F28" s="127" t="n">
        <x:f>SUM(AS28:BD28)</x:f>
        <x:v>-27074925</x:v>
      </x:c>
      <x:c r="G28" s="130" t="n">
        <x:f>SUM(BE28:BP28)</x:f>
        <x:v>-36662771.25</x:v>
      </x:c>
      <x:c r="H28" s="116"/>
      <x:c r="I28" s="116" t="n">
        <x:f>SUM(I29:I33)</x:f>
        <x:v>-828500</x:v>
      </x:c>
      <x:c r="J28" s="116" t="n">
        <x:f>SUM(J29:J33)</x:f>
        <x:v>-876363.5499999999</x:v>
      </x:c>
      <x:c r="K28" s="116" t="n">
        <x:f>SUM(K29:K33)</x:f>
        <x:v>-915227.1000000001</x:v>
      </x:c>
      <x:c r="L28" s="116" t="n">
        <x:f>SUM(L29:L33)</x:f>
        <x:v>-963090.6499999999</x:v>
      </x:c>
      <x:c r="M28" s="116" t="n">
        <x:f>SUM(M29:M33)</x:f>
        <x:v>-1001954.2000000002</x:v>
      </x:c>
      <x:c r="N28" s="116" t="n">
        <x:f>SUM(N29:N33)</x:f>
        <x:v>-1049817.75</x:v>
      </x:c>
      <x:c r="O28" s="116" t="n">
        <x:f>SUM(O29:O33)</x:f>
        <x:v>-1097682.25</x:v>
      </x:c>
      <x:c r="P28" s="116" t="n">
        <x:f>SUM(P29:P33)</x:f>
        <x:v>-1145545.7999999998</x:v>
      </x:c>
      <x:c r="Q28" s="116" t="n">
        <x:f>SUM(Q29:Q33)</x:f>
        <x:v>-1184409.3499999999</x:v>
      </x:c>
      <x:c r="R28" s="116" t="n">
        <x:f>SUM(R29:R33)</x:f>
        <x:v>-1232272.9000000001</x:v>
      </x:c>
      <x:c r="S28" s="116" t="n">
        <x:f>SUM(S29:S33)</x:f>
        <x:v>-1298136.45</x:v>
      </x:c>
      <x:c r="T28" s="116" t="n">
        <x:f>SUM(T29:T33)</x:f>
        <x:v>-1346000</x:v>
      </x:c>
      <x:c r="U28" s="116" t="n">
        <x:f>SUM(U29:U33)</x:f>
        <x:v>-1447500</x:v>
      </x:c>
      <x:c r="V28" s="116" t="n">
        <x:f>SUM(V29:V33)</x:f>
        <x:v>-1456500</x:v>
      </x:c>
      <x:c r="W28" s="116" t="n">
        <x:f>SUM(W29:W33)</x:f>
        <x:v>-1456500</x:v>
      </x:c>
      <x:c r="X28" s="116" t="n">
        <x:f>SUM(X29:X33)</x:f>
        <x:v>-1474500</x:v>
      </x:c>
      <x:c r="Y28" s="116" t="n">
        <x:f>SUM(Y29:Y33)</x:f>
        <x:v>-1474500</x:v>
      </x:c>
      <x:c r="Z28" s="116" t="n">
        <x:f>SUM(Z29:Z33)</x:f>
        <x:v>-1483500</x:v>
      </x:c>
      <x:c r="AA28" s="116" t="n">
        <x:f>SUM(AA29:AA33)</x:f>
        <x:v>-1492500</x:v>
      </x:c>
      <x:c r="AB28" s="116" t="n">
        <x:f>SUM(AB29:AB33)</x:f>
        <x:v>-1501500</x:v>
      </x:c>
      <x:c r="AC28" s="116" t="n">
        <x:f>SUM(AC29:AC33)</x:f>
        <x:v>-1510500</x:v>
      </x:c>
      <x:c r="AD28" s="116" t="n">
        <x:f>SUM(AD29:AD33)</x:f>
        <x:v>-1528500</x:v>
      </x:c>
      <x:c r="AE28" s="116" t="n">
        <x:f>SUM(AE29:AE33)</x:f>
        <x:v>-1564500</x:v>
      </x:c>
      <x:c r="AF28" s="116" t="n">
        <x:f>SUM(AF29:AF33)</x:f>
        <x:v>-1582500</x:v>
      </x:c>
      <x:c r="AG28" s="116" t="n">
        <x:f>SUM(AG29:AG33)</x:f>
        <x:v>-1713375</x:v>
      </x:c>
      <x:c r="AH28" s="116" t="n">
        <x:f>SUM(AH29:AH33)</x:f>
        <x:v>-1722375</x:v>
      </x:c>
      <x:c r="AI28" s="116" t="n">
        <x:f>SUM(AI29:AI33)</x:f>
        <x:v>-1731375</x:v>
      </x:c>
      <x:c r="AJ28" s="116" t="n">
        <x:f>SUM(AJ29:AJ33)</x:f>
        <x:v>-1749375</x:v>
      </x:c>
      <x:c r="AK28" s="116" t="n">
        <x:f>SUM(AK29:AK33)</x:f>
        <x:v>-1749375</x:v>
      </x:c>
      <x:c r="AL28" s="116" t="n">
        <x:f>SUM(AL29:AL33)</x:f>
        <x:v>-1758375</x:v>
      </x:c>
      <x:c r="AM28" s="116" t="n">
        <x:f>SUM(AM29:AM33)</x:f>
        <x:v>-1785375</x:v>
      </x:c>
      <x:c r="AN28" s="116" t="n">
        <x:f>SUM(AN29:AN33)</x:f>
        <x:v>-1794375</x:v>
      </x:c>
      <x:c r="AO28" s="116" t="n">
        <x:f>SUM(AO29:AO33)</x:f>
        <x:v>-1803375</x:v>
      </x:c>
      <x:c r="AP28" s="116" t="n">
        <x:f>SUM(AP29:AP33)</x:f>
        <x:v>-1821375</x:v>
      </x:c>
      <x:c r="AQ28" s="116" t="n">
        <x:f>SUM(AQ29:AQ33)</x:f>
        <x:v>-1875375</x:v>
      </x:c>
      <x:c r="AR28" s="116" t="n">
        <x:f>SUM(AR29:AR33)</x:f>
        <x:v>-1902375</x:v>
      </x:c>
      <x:c r="AS28" s="116" t="n">
        <x:f>SUM(AS29:AS33)</x:f>
        <x:v>-2134743.75</x:v>
      </x:c>
      <x:c r="AT28" s="116" t="n">
        <x:f>SUM(AT29:AT33)</x:f>
        <x:v>-2152743.75</x:v>
      </x:c>
      <x:c r="AU28" s="116" t="n">
        <x:f>SUM(AU29:AU33)</x:f>
        <x:v>-2170743.75</x:v>
      </x:c>
      <x:c r="AV28" s="116" t="n">
        <x:f>SUM(AV29:AV33)</x:f>
        <x:v>-2197743.75</x:v>
      </x:c>
      <x:c r="AW28" s="116" t="n">
        <x:f>SUM(AW29:AW33)</x:f>
        <x:v>-2206743.75</x:v>
      </x:c>
      <x:c r="AX28" s="116" t="n">
        <x:f>SUM(AX29:AX33)</x:f>
        <x:v>-2224743.75</x:v>
      </x:c>
      <x:c r="AY28" s="116" t="n">
        <x:f>SUM(AY29:AY33)</x:f>
        <x:v>-2251743.75</x:v>
      </x:c>
      <x:c r="AZ28" s="116" t="n">
        <x:f>SUM(AZ29:AZ33)</x:f>
        <x:v>-2269743.75</x:v>
      </x:c>
      <x:c r="BA28" s="116" t="n">
        <x:f>SUM(BA29:BA33)</x:f>
        <x:v>-2296743.75</x:v>
      </x:c>
      <x:c r="BB28" s="116" t="n">
        <x:f>SUM(BB29:BB33)</x:f>
        <x:v>-2323743.75</x:v>
      </x:c>
      <x:c r="BC28" s="116" t="n">
        <x:f>SUM(BC29:BC33)</x:f>
        <x:v>-2404743.75</x:v>
      </x:c>
      <x:c r="BD28" s="116" t="n">
        <x:f>SUM(BD29:BD33)</x:f>
        <x:v>-2440743.75</x:v>
      </x:c>
      <x:c r="BE28" s="116" t="n">
        <x:f>SUM(BE29:BE33)</x:f>
        <x:v>-2864730.9375</x:v>
      </x:c>
      <x:c r="BF28" s="116" t="n">
        <x:f>SUM(BF29:BF33)</x:f>
        <x:v>-2891730.9375</x:v>
      </x:c>
      <x:c r="BG28" s="116" t="n">
        <x:f>SUM(BG29:BG33)</x:f>
        <x:v>-2909730.9375</x:v>
      </x:c>
      <x:c r="BH28" s="116" t="n">
        <x:f>SUM(BH29:BH33)</x:f>
        <x:v>-2954730.9375</x:v>
      </x:c>
      <x:c r="BI28" s="116" t="n">
        <x:f>SUM(BI29:BI33)</x:f>
        <x:v>-2981730.9375</x:v>
      </x:c>
      <x:c r="BJ28" s="116" t="n">
        <x:f>SUM(BJ29:BJ33)</x:f>
        <x:v>-2999730.9375</x:v>
      </x:c>
      <x:c r="BK28" s="116" t="n">
        <x:f>SUM(BK29:BK33)</x:f>
        <x:v>-3044730.9375</x:v>
      </x:c>
      <x:c r="BL28" s="116" t="n">
        <x:f>SUM(BL29:BL33)</x:f>
        <x:v>-3071730.9375</x:v>
      </x:c>
      <x:c r="BM28" s="116" t="n">
        <x:f>SUM(BM29:BM33)</x:f>
        <x:v>-3116730.9375</x:v>
      </x:c>
      <x:c r="BN28" s="116" t="n">
        <x:f>SUM(BN29:BN33)</x:f>
        <x:v>-3161730.9375</x:v>
      </x:c>
      <x:c r="BO28" s="116" t="n">
        <x:f>SUM(BO29:BO33)</x:f>
        <x:v>-3296730.9375</x:v>
      </x:c>
      <x:c r="BP28" s="116" t="n">
        <x:f>SUM(BP29:BP33)</x:f>
        <x:v>-3368730.9375</x:v>
      </x:c>
    </x:row>
    <x:row r="29">
      <x:c r="A29" s="26" t="str">
        <x:v>  Платная реклама</x:v>
      </x:c>
      <x:c r="B29" s="26" t="str">
        <x:v>Бюджет привлечения потенциальных клиентов</x:v>
      </x:c>
      <x:c r="C29" s="63" t="n">
        <x:f>SUM(I29:T29)</x:f>
        <x:v>-4104000</x:v>
      </x:c>
      <x:c r="D29" s="67" t="n">
        <x:f>SUM(U29:AF29)</x:f>
        <x:v>-6003000</x:v>
      </x:c>
      <x:c r="E29" s="71" t="n">
        <x:f>SUM(AG29:AR29)</x:f>
        <x:v>-8838000</x:v>
      </x:c>
      <x:c r="F29" s="75" t="n">
        <x:f>SUM(AS29:BD29)</x:f>
        <x:v>-13878000</x:v>
      </x:c>
      <x:c r="G29" s="79" t="n">
        <x:f>SUM(BE29:BP29)</x:f>
        <x:v>-22806000</x:v>
      </x:c>
      <x:c r="H29" s="58"/>
      <x:c r="I29" s="58" t="n">
        <x:f>-Funnel!H6</x:f>
        <x:v>-306000</x:v>
      </x:c>
      <x:c r="J29" s="58" t="n">
        <x:f>-Funnel!H7</x:f>
        <x:v>-315000</x:v>
      </x:c>
      <x:c r="K29" s="58" t="n">
        <x:f>-Funnel!H8</x:f>
        <x:v>-315000</x:v>
      </x:c>
      <x:c r="L29" s="58" t="n">
        <x:f>-Funnel!H9</x:f>
        <x:v>-324000</x:v>
      </x:c>
      <x:c r="M29" s="58" t="n">
        <x:f>-Funnel!H10</x:f>
        <x:v>-324000</x:v>
      </x:c>
      <x:c r="N29" s="58" t="n">
        <x:f>-Funnel!H11</x:f>
        <x:v>-333000</x:v>
      </x:c>
      <x:c r="O29" s="58" t="n">
        <x:f>-Funnel!H12</x:f>
        <x:v>-342000</x:v>
      </x:c>
      <x:c r="P29" s="58" t="n">
        <x:f>-Funnel!H13</x:f>
        <x:v>-351000</x:v>
      </x:c>
      <x:c r="Q29" s="58" t="n">
        <x:f>-Funnel!H14</x:f>
        <x:v>-351000</x:v>
      </x:c>
      <x:c r="R29" s="58" t="n">
        <x:f>-Funnel!H15</x:f>
        <x:v>-360000</x:v>
      </x:c>
      <x:c r="S29" s="58" t="n">
        <x:f>-Funnel!H16</x:f>
        <x:v>-387000</x:v>
      </x:c>
      <x:c r="T29" s="58" t="n">
        <x:f>-Funnel!H17</x:f>
        <x:v>-396000</x:v>
      </x:c>
      <x:c r="U29" s="58" t="n">
        <x:f>-Funnel!H18</x:f>
        <x:v>-450000</x:v>
      </x:c>
      <x:c r="V29" s="58" t="n">
        <x:f>-Funnel!H19</x:f>
        <x:v>-459000</x:v>
      </x:c>
      <x:c r="W29" s="58" t="n">
        <x:f>-Funnel!H20</x:f>
        <x:v>-459000</x:v>
      </x:c>
      <x:c r="X29" s="58" t="n">
        <x:f>-Funnel!H21</x:f>
        <x:v>-477000</x:v>
      </x:c>
      <x:c r="Y29" s="58" t="n">
        <x:f>-Funnel!H22</x:f>
        <x:v>-477000</x:v>
      </x:c>
      <x:c r="Z29" s="58" t="n">
        <x:f>-Funnel!H23</x:f>
        <x:v>-486000</x:v>
      </x:c>
      <x:c r="AA29" s="58" t="n">
        <x:f>-Funnel!H24</x:f>
        <x:v>-495000</x:v>
      </x:c>
      <x:c r="AB29" s="58" t="n">
        <x:f>-Funnel!H25</x:f>
        <x:v>-504000</x:v>
      </x:c>
      <x:c r="AC29" s="58" t="n">
        <x:f>-Funnel!H26</x:f>
        <x:v>-513000</x:v>
      </x:c>
      <x:c r="AD29" s="58" t="n">
        <x:f>-Funnel!H27</x:f>
        <x:v>-531000</x:v>
      </x:c>
      <x:c r="AE29" s="58" t="n">
        <x:f>-Funnel!H28</x:f>
        <x:v>-567000</x:v>
      </x:c>
      <x:c r="AF29" s="58" t="n">
        <x:f>-Funnel!H29</x:f>
        <x:v>-585000</x:v>
      </x:c>
      <x:c r="AG29" s="58" t="n">
        <x:f>-Funnel!H30</x:f>
        <x:v>-666000</x:v>
      </x:c>
      <x:c r="AH29" s="58" t="n">
        <x:f>-Funnel!H31</x:f>
        <x:v>-675000</x:v>
      </x:c>
      <x:c r="AI29" s="58" t="n">
        <x:f>-Funnel!H32</x:f>
        <x:v>-684000</x:v>
      </x:c>
      <x:c r="AJ29" s="58" t="n">
        <x:f>-Funnel!H33</x:f>
        <x:v>-702000</x:v>
      </x:c>
      <x:c r="AK29" s="58" t="n">
        <x:f>-Funnel!H34</x:f>
        <x:v>-702000</x:v>
      </x:c>
      <x:c r="AL29" s="58" t="n">
        <x:f>-Funnel!H35</x:f>
        <x:v>-711000</x:v>
      </x:c>
      <x:c r="AM29" s="58" t="n">
        <x:f>-Funnel!H36</x:f>
        <x:v>-738000</x:v>
      </x:c>
      <x:c r="AN29" s="58" t="n">
        <x:f>-Funnel!H37</x:f>
        <x:v>-747000</x:v>
      </x:c>
      <x:c r="AO29" s="58" t="n">
        <x:f>-Funnel!H38</x:f>
        <x:v>-756000</x:v>
      </x:c>
      <x:c r="AP29" s="58" t="n">
        <x:f>-Funnel!H39</x:f>
        <x:v>-774000</x:v>
      </x:c>
      <x:c r="AQ29" s="58" t="n">
        <x:f>-Funnel!H40</x:f>
        <x:v>-828000</x:v>
      </x:c>
      <x:c r="AR29" s="58" t="n">
        <x:f>-Funnel!H41</x:f>
        <x:v>-855000</x:v>
      </x:c>
      <x:c r="AS29" s="58" t="n">
        <x:f>-Funnel!H42</x:f>
        <x:v>-1035000</x:v>
      </x:c>
      <x:c r="AT29" s="58" t="n">
        <x:f>-Funnel!H43</x:f>
        <x:v>-1053000</x:v>
      </x:c>
      <x:c r="AU29" s="58" t="n">
        <x:f>-Funnel!H44</x:f>
        <x:v>-1071000</x:v>
      </x:c>
      <x:c r="AV29" s="58" t="n">
        <x:f>-Funnel!H45</x:f>
        <x:v>-1098000</x:v>
      </x:c>
      <x:c r="AW29" s="58" t="n">
        <x:f>-Funnel!H46</x:f>
        <x:v>-1107000</x:v>
      </x:c>
      <x:c r="AX29" s="58" t="n">
        <x:f>-Funnel!H47</x:f>
        <x:v>-1125000</x:v>
      </x:c>
      <x:c r="AY29" s="58" t="n">
        <x:f>-Funnel!H48</x:f>
        <x:v>-1152000</x:v>
      </x:c>
      <x:c r="AZ29" s="58" t="n">
        <x:f>-Funnel!H49</x:f>
        <x:v>-1170000</x:v>
      </x:c>
      <x:c r="BA29" s="58" t="n">
        <x:f>-Funnel!H50</x:f>
        <x:v>-1197000</x:v>
      </x:c>
      <x:c r="BB29" s="58" t="n">
        <x:f>-Funnel!H51</x:f>
        <x:v>-1224000</x:v>
      </x:c>
      <x:c r="BC29" s="58" t="n">
        <x:f>-Funnel!H52</x:f>
        <x:v>-1305000</x:v>
      </x:c>
      <x:c r="BD29" s="58" t="n">
        <x:f>-Funnel!H53</x:f>
        <x:v>-1341000</x:v>
      </x:c>
      <x:c r="BE29" s="58" t="n">
        <x:f>-Funnel!H54</x:f>
        <x:v>-1710000</x:v>
      </x:c>
      <x:c r="BF29" s="58" t="n">
        <x:f>-Funnel!H55</x:f>
        <x:v>-1737000</x:v>
      </x:c>
      <x:c r="BG29" s="58" t="n">
        <x:f>-Funnel!H56</x:f>
        <x:v>-1755000</x:v>
      </x:c>
      <x:c r="BH29" s="58" t="n">
        <x:f>-Funnel!H57</x:f>
        <x:v>-1800000</x:v>
      </x:c>
      <x:c r="BI29" s="58" t="n">
        <x:f>-Funnel!H58</x:f>
        <x:v>-1827000</x:v>
      </x:c>
      <x:c r="BJ29" s="58" t="n">
        <x:f>-Funnel!H59</x:f>
        <x:v>-1845000</x:v>
      </x:c>
      <x:c r="BK29" s="58" t="n">
        <x:f>-Funnel!H60</x:f>
        <x:v>-1890000</x:v>
      </x:c>
      <x:c r="BL29" s="58" t="n">
        <x:f>-Funnel!H61</x:f>
        <x:v>-1917000</x:v>
      </x:c>
      <x:c r="BM29" s="58" t="n">
        <x:f>-Funnel!H62</x:f>
        <x:v>-1962000</x:v>
      </x:c>
      <x:c r="BN29" s="58" t="n">
        <x:f>-Funnel!H63</x:f>
        <x:v>-2007000</x:v>
      </x:c>
      <x:c r="BO29" s="58" t="n">
        <x:f>-Funnel!H64</x:f>
        <x:v>-2142000</x:v>
      </x:c>
      <x:c r="BP29" s="58" t="n">
        <x:f>-Funnel!H65</x:f>
        <x:v>-2214000</x:v>
      </x:c>
    </x:row>
    <x:row r="30">
      <x:c r="A30" s="26" t="str">
        <x:v>  Контент и органика</x:v>
      </x:c>
      <x:c r="B30" s="26" t="str">
        <x:v>Контент, бренд и органическое привлечение</x:v>
      </x:c>
      <x:c r="C30" s="63" t="n">
        <x:f>SUM(I30:T30)</x:f>
        <x:v>-744000</x:v>
      </x:c>
      <x:c r="D30" s="67" t="n">
        <x:f>SUM(U30:AF30)</x:f>
        <x:v>-1008000</x:v>
      </x:c>
      <x:c r="E30" s="71" t="n">
        <x:f>SUM(AG30:AR30)</x:f>
        <x:v>-1058400</x:v>
      </x:c>
      <x:c r="F30" s="75" t="n">
        <x:f>SUM(AS30:BD30)</x:f>
        <x:v>-1111320.0000000002</x:v>
      </x:c>
      <x:c r="G30" s="79" t="n">
        <x:f>SUM(BE30:BP30)</x:f>
        <x:v>-1166886.0000000002</x:v>
      </x:c>
      <x:c r="H30" s="58"/>
      <x:c r="I30" s="58" t="n">
        <x:f>-Assumptions!$C$32*POWER(1+Assumptions!$C$40,0)*0.550000</x:f>
        <x:v>-44000</x:v>
      </x:c>
      <x:c r="J30" s="58" t="n">
        <x:f>-Assumptions!$C$32*POWER(1+Assumptions!$C$40,0)*0.590909</x:f>
        <x:v>-47272.72</x:v>
      </x:c>
      <x:c r="K30" s="58" t="n">
        <x:f>-Assumptions!$C$32*POWER(1+Assumptions!$C$40,0)*0.631818</x:f>
        <x:v>-50545.44</x:v>
      </x:c>
      <x:c r="L30" s="58" t="n">
        <x:f>-Assumptions!$C$32*POWER(1+Assumptions!$C$40,0)*0.672727</x:f>
        <x:v>-53818.159999999996</x:v>
      </x:c>
      <x:c r="M30" s="58" t="n">
        <x:f>-Assumptions!$C$32*POWER(1+Assumptions!$C$40,0)*0.713636</x:f>
        <x:v>-57090.880000000005</x:v>
      </x:c>
      <x:c r="N30" s="58" t="n">
        <x:f>-Assumptions!$C$32*POWER(1+Assumptions!$C$40,0)*0.754545</x:f>
        <x:v>-60363.6</x:v>
      </x:c>
      <x:c r="O30" s="58" t="n">
        <x:f>-Assumptions!$C$32*POWER(1+Assumptions!$C$40,0)*0.795455</x:f>
        <x:v>-63636.4</x:v>
      </x:c>
      <x:c r="P30" s="58" t="n">
        <x:f>-Assumptions!$C$32*POWER(1+Assumptions!$C$40,0)*0.836364</x:f>
        <x:v>-66909.12</x:v>
      </x:c>
      <x:c r="Q30" s="58" t="n">
        <x:f>-Assumptions!$C$32*POWER(1+Assumptions!$C$40,0)*0.877273</x:f>
        <x:v>-70181.84</x:v>
      </x:c>
      <x:c r="R30" s="58" t="n">
        <x:f>-Assumptions!$C$32*POWER(1+Assumptions!$C$40,0)*0.918182</x:f>
        <x:v>-73454.56</x:v>
      </x:c>
      <x:c r="S30" s="58" t="n">
        <x:f>-Assumptions!$C$32*POWER(1+Assumptions!$C$40,0)*0.959091</x:f>
        <x:v>-76727.28</x:v>
      </x:c>
      <x:c r="T30" s="58" t="n">
        <x:f>-Assumptions!$C$32*POWER(1+Assumptions!$C$40,0)*1.000000</x:f>
        <x:v>-80000</x:v>
      </x:c>
      <x:c r="U30" s="58" t="n">
        <x:f>-Assumptions!$C$32*POWER(1+Assumptions!$C$40,1)*1.000000</x:f>
        <x:v>-84000</x:v>
      </x:c>
      <x:c r="V30" s="58" t="n">
        <x:f>-Assumptions!$C$32*POWER(1+Assumptions!$C$40,1)*1.000000</x:f>
        <x:v>-84000</x:v>
      </x:c>
      <x:c r="W30" s="58" t="n">
        <x:f>-Assumptions!$C$32*POWER(1+Assumptions!$C$40,1)*1.000000</x:f>
        <x:v>-84000</x:v>
      </x:c>
      <x:c r="X30" s="58" t="n">
        <x:f>-Assumptions!$C$32*POWER(1+Assumptions!$C$40,1)*1.000000</x:f>
        <x:v>-84000</x:v>
      </x:c>
      <x:c r="Y30" s="58" t="n">
        <x:f>-Assumptions!$C$32*POWER(1+Assumptions!$C$40,1)*1.000000</x:f>
        <x:v>-84000</x:v>
      </x:c>
      <x:c r="Z30" s="58" t="n">
        <x:f>-Assumptions!$C$32*POWER(1+Assumptions!$C$40,1)*1.000000</x:f>
        <x:v>-84000</x:v>
      </x:c>
      <x:c r="AA30" s="58" t="n">
        <x:f>-Assumptions!$C$32*POWER(1+Assumptions!$C$40,1)*1.000000</x:f>
        <x:v>-84000</x:v>
      </x:c>
      <x:c r="AB30" s="58" t="n">
        <x:f>-Assumptions!$C$32*POWER(1+Assumptions!$C$40,1)*1.000000</x:f>
        <x:v>-84000</x:v>
      </x:c>
      <x:c r="AC30" s="58" t="n">
        <x:f>-Assumptions!$C$32*POWER(1+Assumptions!$C$40,1)*1.000000</x:f>
        <x:v>-84000</x:v>
      </x:c>
      <x:c r="AD30" s="58" t="n">
        <x:f>-Assumptions!$C$32*POWER(1+Assumptions!$C$40,1)*1.000000</x:f>
        <x:v>-84000</x:v>
      </x:c>
      <x:c r="AE30" s="58" t="n">
        <x:f>-Assumptions!$C$32*POWER(1+Assumptions!$C$40,1)*1.000000</x:f>
        <x:v>-84000</x:v>
      </x:c>
      <x:c r="AF30" s="58" t="n">
        <x:f>-Assumptions!$C$32*POWER(1+Assumptions!$C$40,1)*1.000000</x:f>
        <x:v>-84000</x:v>
      </x:c>
      <x:c r="AG30" s="58" t="n">
        <x:f>-Assumptions!$C$32*POWER(1+Assumptions!$C$40,2)*1.000000</x:f>
        <x:v>-88200</x:v>
      </x:c>
      <x:c r="AH30" s="58" t="n">
        <x:f>-Assumptions!$C$32*POWER(1+Assumptions!$C$40,2)*1.000000</x:f>
        <x:v>-88200</x:v>
      </x:c>
      <x:c r="AI30" s="58" t="n">
        <x:f>-Assumptions!$C$32*POWER(1+Assumptions!$C$40,2)*1.000000</x:f>
        <x:v>-88200</x:v>
      </x:c>
      <x:c r="AJ30" s="58" t="n">
        <x:f>-Assumptions!$C$32*POWER(1+Assumptions!$C$40,2)*1.000000</x:f>
        <x:v>-88200</x:v>
      </x:c>
      <x:c r="AK30" s="58" t="n">
        <x:f>-Assumptions!$C$32*POWER(1+Assumptions!$C$40,2)*1.000000</x:f>
        <x:v>-88200</x:v>
      </x:c>
      <x:c r="AL30" s="58" t="n">
        <x:f>-Assumptions!$C$32*POWER(1+Assumptions!$C$40,2)*1.000000</x:f>
        <x:v>-88200</x:v>
      </x:c>
      <x:c r="AM30" s="58" t="n">
        <x:f>-Assumptions!$C$32*POWER(1+Assumptions!$C$40,2)*1.000000</x:f>
        <x:v>-88200</x:v>
      </x:c>
      <x:c r="AN30" s="58" t="n">
        <x:f>-Assumptions!$C$32*POWER(1+Assumptions!$C$40,2)*1.000000</x:f>
        <x:v>-88200</x:v>
      </x:c>
      <x:c r="AO30" s="58" t="n">
        <x:f>-Assumptions!$C$32*POWER(1+Assumptions!$C$40,2)*1.000000</x:f>
        <x:v>-88200</x:v>
      </x:c>
      <x:c r="AP30" s="58" t="n">
        <x:f>-Assumptions!$C$32*POWER(1+Assumptions!$C$40,2)*1.000000</x:f>
        <x:v>-88200</x:v>
      </x:c>
      <x:c r="AQ30" s="58" t="n">
        <x:f>-Assumptions!$C$32*POWER(1+Assumptions!$C$40,2)*1.000000</x:f>
        <x:v>-88200</x:v>
      </x:c>
      <x:c r="AR30" s="58" t="n">
        <x:f>-Assumptions!$C$32*POWER(1+Assumptions!$C$40,2)*1.000000</x:f>
        <x:v>-88200</x:v>
      </x:c>
      <x:c r="AS30" s="58" t="n">
        <x:f>-Assumptions!$C$32*POWER(1+Assumptions!$C$40,3)*1.000000</x:f>
        <x:v>-92610.00000000001</x:v>
      </x:c>
      <x:c r="AT30" s="58" t="n">
        <x:f>-Assumptions!$C$32*POWER(1+Assumptions!$C$40,3)*1.000000</x:f>
        <x:v>-92610.00000000001</x:v>
      </x:c>
      <x:c r="AU30" s="58" t="n">
        <x:f>-Assumptions!$C$32*POWER(1+Assumptions!$C$40,3)*1.000000</x:f>
        <x:v>-92610.00000000001</x:v>
      </x:c>
      <x:c r="AV30" s="58" t="n">
        <x:f>-Assumptions!$C$32*POWER(1+Assumptions!$C$40,3)*1.000000</x:f>
        <x:v>-92610.00000000001</x:v>
      </x:c>
      <x:c r="AW30" s="58" t="n">
        <x:f>-Assumptions!$C$32*POWER(1+Assumptions!$C$40,3)*1.000000</x:f>
        <x:v>-92610.00000000001</x:v>
      </x:c>
      <x:c r="AX30" s="58" t="n">
        <x:f>-Assumptions!$C$32*POWER(1+Assumptions!$C$40,3)*1.000000</x:f>
        <x:v>-92610.00000000001</x:v>
      </x:c>
      <x:c r="AY30" s="58" t="n">
        <x:f>-Assumptions!$C$32*POWER(1+Assumptions!$C$40,3)*1.000000</x:f>
        <x:v>-92610.00000000001</x:v>
      </x:c>
      <x:c r="AZ30" s="58" t="n">
        <x:f>-Assumptions!$C$32*POWER(1+Assumptions!$C$40,3)*1.000000</x:f>
        <x:v>-92610.00000000001</x:v>
      </x:c>
      <x:c r="BA30" s="58" t="n">
        <x:f>-Assumptions!$C$32*POWER(1+Assumptions!$C$40,3)*1.000000</x:f>
        <x:v>-92610.00000000001</x:v>
      </x:c>
      <x:c r="BB30" s="58" t="n">
        <x:f>-Assumptions!$C$32*POWER(1+Assumptions!$C$40,3)*1.000000</x:f>
        <x:v>-92610.00000000001</x:v>
      </x:c>
      <x:c r="BC30" s="58" t="n">
        <x:f>-Assumptions!$C$32*POWER(1+Assumptions!$C$40,3)*1.000000</x:f>
        <x:v>-92610.00000000001</x:v>
      </x:c>
      <x:c r="BD30" s="58" t="n">
        <x:f>-Assumptions!$C$32*POWER(1+Assumptions!$C$40,3)*1.000000</x:f>
        <x:v>-92610.00000000001</x:v>
      </x:c>
      <x:c r="BE30" s="58" t="n">
        <x:f>-Assumptions!$C$32*POWER(1+Assumptions!$C$40,4)*1.000000</x:f>
        <x:v>-97240.50000000001</x:v>
      </x:c>
      <x:c r="BF30" s="58" t="n">
        <x:f>-Assumptions!$C$32*POWER(1+Assumptions!$C$40,4)*1.000000</x:f>
        <x:v>-97240.50000000001</x:v>
      </x:c>
      <x:c r="BG30" s="58" t="n">
        <x:f>-Assumptions!$C$32*POWER(1+Assumptions!$C$40,4)*1.000000</x:f>
        <x:v>-97240.50000000001</x:v>
      </x:c>
      <x:c r="BH30" s="58" t="n">
        <x:f>-Assumptions!$C$32*POWER(1+Assumptions!$C$40,4)*1.000000</x:f>
        <x:v>-97240.50000000001</x:v>
      </x:c>
      <x:c r="BI30" s="58" t="n">
        <x:f>-Assumptions!$C$32*POWER(1+Assumptions!$C$40,4)*1.000000</x:f>
        <x:v>-97240.50000000001</x:v>
      </x:c>
      <x:c r="BJ30" s="58" t="n">
        <x:f>-Assumptions!$C$32*POWER(1+Assumptions!$C$40,4)*1.000000</x:f>
        <x:v>-97240.50000000001</x:v>
      </x:c>
      <x:c r="BK30" s="58" t="n">
        <x:f>-Assumptions!$C$32*POWER(1+Assumptions!$C$40,4)*1.000000</x:f>
        <x:v>-97240.50000000001</x:v>
      </x:c>
      <x:c r="BL30" s="58" t="n">
        <x:f>-Assumptions!$C$32*POWER(1+Assumptions!$C$40,4)*1.000000</x:f>
        <x:v>-97240.50000000001</x:v>
      </x:c>
      <x:c r="BM30" s="58" t="n">
        <x:f>-Assumptions!$C$32*POWER(1+Assumptions!$C$40,4)*1.000000</x:f>
        <x:v>-97240.50000000001</x:v>
      </x:c>
      <x:c r="BN30" s="58" t="n">
        <x:f>-Assumptions!$C$32*POWER(1+Assumptions!$C$40,4)*1.000000</x:f>
        <x:v>-97240.50000000001</x:v>
      </x:c>
      <x:c r="BO30" s="58" t="n">
        <x:f>-Assumptions!$C$32*POWER(1+Assumptions!$C$40,4)*1.000000</x:f>
        <x:v>-97240.50000000001</x:v>
      </x:c>
      <x:c r="BP30" s="58" t="n">
        <x:f>-Assumptions!$C$32*POWER(1+Assumptions!$C$40,4)*1.000000</x:f>
        <x:v>-97240.50000000001</x:v>
      </x:c>
    </x:row>
    <x:row r="31">
      <x:c r="A31" s="26" t="str">
        <x:v>  Постоянная команда</x:v>
      </x:c>
      <x:c r="B31" s="26" t="str">
        <x:v>Фонд постоянной команды без проектной себестоимости</x:v>
      </x:c>
      <x:c r="C31" s="63" t="n">
        <x:f>SUM(I31:T31)</x:f>
        <x:v>-4185000</x:v>
      </x:c>
      <x:c r="D31" s="67" t="n">
        <x:f>SUM(U31:AF31)</x:f>
        <x:v>-5670000</x:v>
      </x:c>
      <x:c r="E31" s="71" t="n">
        <x:f>SUM(AG31:AR31)</x:f>
        <x:v>-5953500</x:v>
      </x:c>
      <x:c r="F31" s="75" t="n">
        <x:f>SUM(AS31:BD31)</x:f>
        <x:v>-6251175.000000001</x:v>
      </x:c>
      <x:c r="G31" s="79" t="n">
        <x:f>SUM(BE31:BP31)</x:f>
        <x:v>-6563733.750000001</x:v>
      </x:c>
      <x:c r="H31" s="58"/>
      <x:c r="I31" s="58" t="n">
        <x:f>-Assumptions!$C$29*POWER(1+Assumptions!$C$40,0)*0.550000</x:f>
        <x:v>-247500.00000000003</x:v>
      </x:c>
      <x:c r="J31" s="58" t="n">
        <x:f>-Assumptions!$C$29*POWER(1+Assumptions!$C$40,0)*0.590909</x:f>
        <x:v>-265909.05</x:v>
      </x:c>
      <x:c r="K31" s="58" t="n">
        <x:f>-Assumptions!$C$29*POWER(1+Assumptions!$C$40,0)*0.631818</x:f>
        <x:v>-284318.1</x:v>
      </x:c>
      <x:c r="L31" s="58" t="n">
        <x:f>-Assumptions!$C$29*POWER(1+Assumptions!$C$40,0)*0.672727</x:f>
        <x:v>-302727.14999999997</x:v>
      </x:c>
      <x:c r="M31" s="58" t="n">
        <x:f>-Assumptions!$C$29*POWER(1+Assumptions!$C$40,0)*0.713636</x:f>
        <x:v>-321136.2</x:v>
      </x:c>
      <x:c r="N31" s="58" t="n">
        <x:f>-Assumptions!$C$29*POWER(1+Assumptions!$C$40,0)*0.754545</x:f>
        <x:v>-339545.25</x:v>
      </x:c>
      <x:c r="O31" s="58" t="n">
        <x:f>-Assumptions!$C$29*POWER(1+Assumptions!$C$40,0)*0.795455</x:f>
        <x:v>-357954.75</x:v>
      </x:c>
      <x:c r="P31" s="58" t="n">
        <x:f>-Assumptions!$C$29*POWER(1+Assumptions!$C$40,0)*0.836364</x:f>
        <x:v>-376363.8</x:v>
      </x:c>
      <x:c r="Q31" s="58" t="n">
        <x:f>-Assumptions!$C$29*POWER(1+Assumptions!$C$40,0)*0.877273</x:f>
        <x:v>-394772.85</x:v>
      </x:c>
      <x:c r="R31" s="58" t="n">
        <x:f>-Assumptions!$C$29*POWER(1+Assumptions!$C$40,0)*0.918182</x:f>
        <x:v>-413181.9</x:v>
      </x:c>
      <x:c r="S31" s="58" t="n">
        <x:f>-Assumptions!$C$29*POWER(1+Assumptions!$C$40,0)*0.959091</x:f>
        <x:v>-431590.95</x:v>
      </x:c>
      <x:c r="T31" s="58" t="n">
        <x:f>-Assumptions!$C$29*POWER(1+Assumptions!$C$40,0)*1.000000</x:f>
        <x:v>-450000</x:v>
      </x:c>
      <x:c r="U31" s="58" t="n">
        <x:f>-Assumptions!$C$29*POWER(1+Assumptions!$C$40,1)*1.000000</x:f>
        <x:v>-472500</x:v>
      </x:c>
      <x:c r="V31" s="58" t="n">
        <x:f>-Assumptions!$C$29*POWER(1+Assumptions!$C$40,1)*1.000000</x:f>
        <x:v>-472500</x:v>
      </x:c>
      <x:c r="W31" s="58" t="n">
        <x:f>-Assumptions!$C$29*POWER(1+Assumptions!$C$40,1)*1.000000</x:f>
        <x:v>-472500</x:v>
      </x:c>
      <x:c r="X31" s="58" t="n">
        <x:f>-Assumptions!$C$29*POWER(1+Assumptions!$C$40,1)*1.000000</x:f>
        <x:v>-472500</x:v>
      </x:c>
      <x:c r="Y31" s="58" t="n">
        <x:f>-Assumptions!$C$29*POWER(1+Assumptions!$C$40,1)*1.000000</x:f>
        <x:v>-472500</x:v>
      </x:c>
      <x:c r="Z31" s="58" t="n">
        <x:f>-Assumptions!$C$29*POWER(1+Assumptions!$C$40,1)*1.000000</x:f>
        <x:v>-472500</x:v>
      </x:c>
      <x:c r="AA31" s="58" t="n">
        <x:f>-Assumptions!$C$29*POWER(1+Assumptions!$C$40,1)*1.000000</x:f>
        <x:v>-472500</x:v>
      </x:c>
      <x:c r="AB31" s="58" t="n">
        <x:f>-Assumptions!$C$29*POWER(1+Assumptions!$C$40,1)*1.000000</x:f>
        <x:v>-472500</x:v>
      </x:c>
      <x:c r="AC31" s="58" t="n">
        <x:f>-Assumptions!$C$29*POWER(1+Assumptions!$C$40,1)*1.000000</x:f>
        <x:v>-472500</x:v>
      </x:c>
      <x:c r="AD31" s="58" t="n">
        <x:f>-Assumptions!$C$29*POWER(1+Assumptions!$C$40,1)*1.000000</x:f>
        <x:v>-472500</x:v>
      </x:c>
      <x:c r="AE31" s="58" t="n">
        <x:f>-Assumptions!$C$29*POWER(1+Assumptions!$C$40,1)*1.000000</x:f>
        <x:v>-472500</x:v>
      </x:c>
      <x:c r="AF31" s="58" t="n">
        <x:f>-Assumptions!$C$29*POWER(1+Assumptions!$C$40,1)*1.000000</x:f>
        <x:v>-472500</x:v>
      </x:c>
      <x:c r="AG31" s="58" t="n">
        <x:f>-Assumptions!$C$29*POWER(1+Assumptions!$C$40,2)*1.000000</x:f>
        <x:v>-496125</x:v>
      </x:c>
      <x:c r="AH31" s="58" t="n">
        <x:f>-Assumptions!$C$29*POWER(1+Assumptions!$C$40,2)*1.000000</x:f>
        <x:v>-496125</x:v>
      </x:c>
      <x:c r="AI31" s="58" t="n">
        <x:f>-Assumptions!$C$29*POWER(1+Assumptions!$C$40,2)*1.000000</x:f>
        <x:v>-496125</x:v>
      </x:c>
      <x:c r="AJ31" s="58" t="n">
        <x:f>-Assumptions!$C$29*POWER(1+Assumptions!$C$40,2)*1.000000</x:f>
        <x:v>-496125</x:v>
      </x:c>
      <x:c r="AK31" s="58" t="n">
        <x:f>-Assumptions!$C$29*POWER(1+Assumptions!$C$40,2)*1.000000</x:f>
        <x:v>-496125</x:v>
      </x:c>
      <x:c r="AL31" s="58" t="n">
        <x:f>-Assumptions!$C$29*POWER(1+Assumptions!$C$40,2)*1.000000</x:f>
        <x:v>-496125</x:v>
      </x:c>
      <x:c r="AM31" s="58" t="n">
        <x:f>-Assumptions!$C$29*POWER(1+Assumptions!$C$40,2)*1.000000</x:f>
        <x:v>-496125</x:v>
      </x:c>
      <x:c r="AN31" s="58" t="n">
        <x:f>-Assumptions!$C$29*POWER(1+Assumptions!$C$40,2)*1.000000</x:f>
        <x:v>-496125</x:v>
      </x:c>
      <x:c r="AO31" s="58" t="n">
        <x:f>-Assumptions!$C$29*POWER(1+Assumptions!$C$40,2)*1.000000</x:f>
        <x:v>-496125</x:v>
      </x:c>
      <x:c r="AP31" s="58" t="n">
        <x:f>-Assumptions!$C$29*POWER(1+Assumptions!$C$40,2)*1.000000</x:f>
        <x:v>-496125</x:v>
      </x:c>
      <x:c r="AQ31" s="58" t="n">
        <x:f>-Assumptions!$C$29*POWER(1+Assumptions!$C$40,2)*1.000000</x:f>
        <x:v>-496125</x:v>
      </x:c>
      <x:c r="AR31" s="58" t="n">
        <x:f>-Assumptions!$C$29*POWER(1+Assumptions!$C$40,2)*1.000000</x:f>
        <x:v>-496125</x:v>
      </x:c>
      <x:c r="AS31" s="58" t="n">
        <x:f>-Assumptions!$C$29*POWER(1+Assumptions!$C$40,3)*1.000000</x:f>
        <x:v>-520931.25000000006</x:v>
      </x:c>
      <x:c r="AT31" s="58" t="n">
        <x:f>-Assumptions!$C$29*POWER(1+Assumptions!$C$40,3)*1.000000</x:f>
        <x:v>-520931.25000000006</x:v>
      </x:c>
      <x:c r="AU31" s="58" t="n">
        <x:f>-Assumptions!$C$29*POWER(1+Assumptions!$C$40,3)*1.000000</x:f>
        <x:v>-520931.25000000006</x:v>
      </x:c>
      <x:c r="AV31" s="58" t="n">
        <x:f>-Assumptions!$C$29*POWER(1+Assumptions!$C$40,3)*1.000000</x:f>
        <x:v>-520931.25000000006</x:v>
      </x:c>
      <x:c r="AW31" s="58" t="n">
        <x:f>-Assumptions!$C$29*POWER(1+Assumptions!$C$40,3)*1.000000</x:f>
        <x:v>-520931.25000000006</x:v>
      </x:c>
      <x:c r="AX31" s="58" t="n">
        <x:f>-Assumptions!$C$29*POWER(1+Assumptions!$C$40,3)*1.000000</x:f>
        <x:v>-520931.25000000006</x:v>
      </x:c>
      <x:c r="AY31" s="58" t="n">
        <x:f>-Assumptions!$C$29*POWER(1+Assumptions!$C$40,3)*1.000000</x:f>
        <x:v>-520931.25000000006</x:v>
      </x:c>
      <x:c r="AZ31" s="58" t="n">
        <x:f>-Assumptions!$C$29*POWER(1+Assumptions!$C$40,3)*1.000000</x:f>
        <x:v>-520931.25000000006</x:v>
      </x:c>
      <x:c r="BA31" s="58" t="n">
        <x:f>-Assumptions!$C$29*POWER(1+Assumptions!$C$40,3)*1.000000</x:f>
        <x:v>-520931.25000000006</x:v>
      </x:c>
      <x:c r="BB31" s="58" t="n">
        <x:f>-Assumptions!$C$29*POWER(1+Assumptions!$C$40,3)*1.000000</x:f>
        <x:v>-520931.25000000006</x:v>
      </x:c>
      <x:c r="BC31" s="58" t="n">
        <x:f>-Assumptions!$C$29*POWER(1+Assumptions!$C$40,3)*1.000000</x:f>
        <x:v>-520931.25000000006</x:v>
      </x:c>
      <x:c r="BD31" s="58" t="n">
        <x:f>-Assumptions!$C$29*POWER(1+Assumptions!$C$40,3)*1.000000</x:f>
        <x:v>-520931.25000000006</x:v>
      </x:c>
      <x:c r="BE31" s="58" t="n">
        <x:f>-Assumptions!$C$29*POWER(1+Assumptions!$C$40,4)*1.000000</x:f>
        <x:v>-546977.8125000001</x:v>
      </x:c>
      <x:c r="BF31" s="58" t="n">
        <x:f>-Assumptions!$C$29*POWER(1+Assumptions!$C$40,4)*1.000000</x:f>
        <x:v>-546977.8125000001</x:v>
      </x:c>
      <x:c r="BG31" s="58" t="n">
        <x:f>-Assumptions!$C$29*POWER(1+Assumptions!$C$40,4)*1.000000</x:f>
        <x:v>-546977.8125000001</x:v>
      </x:c>
      <x:c r="BH31" s="58" t="n">
        <x:f>-Assumptions!$C$29*POWER(1+Assumptions!$C$40,4)*1.000000</x:f>
        <x:v>-546977.8125000001</x:v>
      </x:c>
      <x:c r="BI31" s="58" t="n">
        <x:f>-Assumptions!$C$29*POWER(1+Assumptions!$C$40,4)*1.000000</x:f>
        <x:v>-546977.8125000001</x:v>
      </x:c>
      <x:c r="BJ31" s="58" t="n">
        <x:f>-Assumptions!$C$29*POWER(1+Assumptions!$C$40,4)*1.000000</x:f>
        <x:v>-546977.8125000001</x:v>
      </x:c>
      <x:c r="BK31" s="58" t="n">
        <x:f>-Assumptions!$C$29*POWER(1+Assumptions!$C$40,4)*1.000000</x:f>
        <x:v>-546977.8125000001</x:v>
      </x:c>
      <x:c r="BL31" s="58" t="n">
        <x:f>-Assumptions!$C$29*POWER(1+Assumptions!$C$40,4)*1.000000</x:f>
        <x:v>-546977.8125000001</x:v>
      </x:c>
      <x:c r="BM31" s="58" t="n">
        <x:f>-Assumptions!$C$29*POWER(1+Assumptions!$C$40,4)*1.000000</x:f>
        <x:v>-546977.8125000001</x:v>
      </x:c>
      <x:c r="BN31" s="58" t="n">
        <x:f>-Assumptions!$C$29*POWER(1+Assumptions!$C$40,4)*1.000000</x:f>
        <x:v>-546977.8125000001</x:v>
      </x:c>
      <x:c r="BO31" s="58" t="n">
        <x:f>-Assumptions!$C$29*POWER(1+Assumptions!$C$40,4)*1.000000</x:f>
        <x:v>-546977.8125000001</x:v>
      </x:c>
      <x:c r="BP31" s="58" t="n">
        <x:f>-Assumptions!$C$29*POWER(1+Assumptions!$C$40,4)*1.000000</x:f>
        <x:v>-546977.8125000001</x:v>
      </x:c>
    </x:row>
    <x:row r="32">
      <x:c r="A32" s="26" t="str">
        <x:v>  Разработка продукта</x:v>
      </x:c>
      <x:c r="B32" s="26" t="str">
        <x:v>Клиентское приложение, кабинеты, ERP, данные и AI</x:v>
      </x:c>
      <x:c r="C32" s="63" t="n">
        <x:f>SUM(I32:T32)</x:f>
        <x:v>-2789999.9999999995</x:v>
      </x:c>
      <x:c r="D32" s="67" t="n">
        <x:f>SUM(U32:AF32)</x:f>
        <x:v>-3780000</x:v>
      </x:c>
      <x:c r="E32" s="71" t="n">
        <x:f>SUM(AG32:AR32)</x:f>
        <x:v>-3969000</x:v>
      </x:c>
      <x:c r="F32" s="75" t="n">
        <x:f>SUM(AS32:BD32)</x:f>
        <x:v>-4167450.0000000005</x:v>
      </x:c>
      <x:c r="G32" s="79" t="n">
        <x:f>SUM(BE32:BP32)</x:f>
        <x:v>-4375822.500000001</x:v>
      </x:c>
      <x:c r="H32" s="58"/>
      <x:c r="I32" s="58" t="n">
        <x:f>-Assumptions!$C$30*POWER(1+Assumptions!$C$40,0)*0.550000</x:f>
        <x:v>-165000</x:v>
      </x:c>
      <x:c r="J32" s="58" t="n">
        <x:f>-Assumptions!$C$30*POWER(1+Assumptions!$C$40,0)*0.590909</x:f>
        <x:v>-177272.7</x:v>
      </x:c>
      <x:c r="K32" s="58" t="n">
        <x:f>-Assumptions!$C$30*POWER(1+Assumptions!$C$40,0)*0.631818</x:f>
        <x:v>-189545.4</x:v>
      </x:c>
      <x:c r="L32" s="58" t="n">
        <x:f>-Assumptions!$C$30*POWER(1+Assumptions!$C$40,0)*0.672727</x:f>
        <x:v>-201818.09999999998</x:v>
      </x:c>
      <x:c r="M32" s="58" t="n">
        <x:f>-Assumptions!$C$30*POWER(1+Assumptions!$C$40,0)*0.713636</x:f>
        <x:v>-214090.80000000002</x:v>
      </x:c>
      <x:c r="N32" s="58" t="n">
        <x:f>-Assumptions!$C$30*POWER(1+Assumptions!$C$40,0)*0.754545</x:f>
        <x:v>-226363.5</x:v>
      </x:c>
      <x:c r="O32" s="58" t="n">
        <x:f>-Assumptions!$C$30*POWER(1+Assumptions!$C$40,0)*0.795455</x:f>
        <x:v>-238636.5</x:v>
      </x:c>
      <x:c r="P32" s="58" t="n">
        <x:f>-Assumptions!$C$30*POWER(1+Assumptions!$C$40,0)*0.836364</x:f>
        <x:v>-250909.2</x:v>
      </x:c>
      <x:c r="Q32" s="58" t="n">
        <x:f>-Assumptions!$C$30*POWER(1+Assumptions!$C$40,0)*0.877273</x:f>
        <x:v>-263181.89999999997</x:v>
      </x:c>
      <x:c r="R32" s="58" t="n">
        <x:f>-Assumptions!$C$30*POWER(1+Assumptions!$C$40,0)*0.918182</x:f>
        <x:v>-275454.60000000003</x:v>
      </x:c>
      <x:c r="S32" s="58" t="n">
        <x:f>-Assumptions!$C$30*POWER(1+Assumptions!$C$40,0)*0.959091</x:f>
        <x:v>-287727.3</x:v>
      </x:c>
      <x:c r="T32" s="58" t="n">
        <x:f>-Assumptions!$C$30*POWER(1+Assumptions!$C$40,0)*1.000000</x:f>
        <x:v>-300000</x:v>
      </x:c>
      <x:c r="U32" s="58" t="n">
        <x:f>-Assumptions!$C$30*POWER(1+Assumptions!$C$40,1)*1.000000</x:f>
        <x:v>-315000</x:v>
      </x:c>
      <x:c r="V32" s="58" t="n">
        <x:f>-Assumptions!$C$30*POWER(1+Assumptions!$C$40,1)*1.000000</x:f>
        <x:v>-315000</x:v>
      </x:c>
      <x:c r="W32" s="58" t="n">
        <x:f>-Assumptions!$C$30*POWER(1+Assumptions!$C$40,1)*1.000000</x:f>
        <x:v>-315000</x:v>
      </x:c>
      <x:c r="X32" s="58" t="n">
        <x:f>-Assumptions!$C$30*POWER(1+Assumptions!$C$40,1)*1.000000</x:f>
        <x:v>-315000</x:v>
      </x:c>
      <x:c r="Y32" s="58" t="n">
        <x:f>-Assumptions!$C$30*POWER(1+Assumptions!$C$40,1)*1.000000</x:f>
        <x:v>-315000</x:v>
      </x:c>
      <x:c r="Z32" s="58" t="n">
        <x:f>-Assumptions!$C$30*POWER(1+Assumptions!$C$40,1)*1.000000</x:f>
        <x:v>-315000</x:v>
      </x:c>
      <x:c r="AA32" s="58" t="n">
        <x:f>-Assumptions!$C$30*POWER(1+Assumptions!$C$40,1)*1.000000</x:f>
        <x:v>-315000</x:v>
      </x:c>
      <x:c r="AB32" s="58" t="n">
        <x:f>-Assumptions!$C$30*POWER(1+Assumptions!$C$40,1)*1.000000</x:f>
        <x:v>-315000</x:v>
      </x:c>
      <x:c r="AC32" s="58" t="n">
        <x:f>-Assumptions!$C$30*POWER(1+Assumptions!$C$40,1)*1.000000</x:f>
        <x:v>-315000</x:v>
      </x:c>
      <x:c r="AD32" s="58" t="n">
        <x:f>-Assumptions!$C$30*POWER(1+Assumptions!$C$40,1)*1.000000</x:f>
        <x:v>-315000</x:v>
      </x:c>
      <x:c r="AE32" s="58" t="n">
        <x:f>-Assumptions!$C$30*POWER(1+Assumptions!$C$40,1)*1.000000</x:f>
        <x:v>-315000</x:v>
      </x:c>
      <x:c r="AF32" s="58" t="n">
        <x:f>-Assumptions!$C$30*POWER(1+Assumptions!$C$40,1)*1.000000</x:f>
        <x:v>-315000</x:v>
      </x:c>
      <x:c r="AG32" s="58" t="n">
        <x:f>-Assumptions!$C$30*POWER(1+Assumptions!$C$40,2)*1.000000</x:f>
        <x:v>-330750</x:v>
      </x:c>
      <x:c r="AH32" s="58" t="n">
        <x:f>-Assumptions!$C$30*POWER(1+Assumptions!$C$40,2)*1.000000</x:f>
        <x:v>-330750</x:v>
      </x:c>
      <x:c r="AI32" s="58" t="n">
        <x:f>-Assumptions!$C$30*POWER(1+Assumptions!$C$40,2)*1.000000</x:f>
        <x:v>-330750</x:v>
      </x:c>
      <x:c r="AJ32" s="58" t="n">
        <x:f>-Assumptions!$C$30*POWER(1+Assumptions!$C$40,2)*1.000000</x:f>
        <x:v>-330750</x:v>
      </x:c>
      <x:c r="AK32" s="58" t="n">
        <x:f>-Assumptions!$C$30*POWER(1+Assumptions!$C$40,2)*1.000000</x:f>
        <x:v>-330750</x:v>
      </x:c>
      <x:c r="AL32" s="58" t="n">
        <x:f>-Assumptions!$C$30*POWER(1+Assumptions!$C$40,2)*1.000000</x:f>
        <x:v>-330750</x:v>
      </x:c>
      <x:c r="AM32" s="58" t="n">
        <x:f>-Assumptions!$C$30*POWER(1+Assumptions!$C$40,2)*1.000000</x:f>
        <x:v>-330750</x:v>
      </x:c>
      <x:c r="AN32" s="58" t="n">
        <x:f>-Assumptions!$C$30*POWER(1+Assumptions!$C$40,2)*1.000000</x:f>
        <x:v>-330750</x:v>
      </x:c>
      <x:c r="AO32" s="58" t="n">
        <x:f>-Assumptions!$C$30*POWER(1+Assumptions!$C$40,2)*1.000000</x:f>
        <x:v>-330750</x:v>
      </x:c>
      <x:c r="AP32" s="58" t="n">
        <x:f>-Assumptions!$C$30*POWER(1+Assumptions!$C$40,2)*1.000000</x:f>
        <x:v>-330750</x:v>
      </x:c>
      <x:c r="AQ32" s="58" t="n">
        <x:f>-Assumptions!$C$30*POWER(1+Assumptions!$C$40,2)*1.000000</x:f>
        <x:v>-330750</x:v>
      </x:c>
      <x:c r="AR32" s="58" t="n">
        <x:f>-Assumptions!$C$30*POWER(1+Assumptions!$C$40,2)*1.000000</x:f>
        <x:v>-330750</x:v>
      </x:c>
      <x:c r="AS32" s="58" t="n">
        <x:f>-Assumptions!$C$30*POWER(1+Assumptions!$C$40,3)*1.000000</x:f>
        <x:v>-347287.50000000006</x:v>
      </x:c>
      <x:c r="AT32" s="58" t="n">
        <x:f>-Assumptions!$C$30*POWER(1+Assumptions!$C$40,3)*1.000000</x:f>
        <x:v>-347287.50000000006</x:v>
      </x:c>
      <x:c r="AU32" s="58" t="n">
        <x:f>-Assumptions!$C$30*POWER(1+Assumptions!$C$40,3)*1.000000</x:f>
        <x:v>-347287.50000000006</x:v>
      </x:c>
      <x:c r="AV32" s="58" t="n">
        <x:f>-Assumptions!$C$30*POWER(1+Assumptions!$C$40,3)*1.000000</x:f>
        <x:v>-347287.50000000006</x:v>
      </x:c>
      <x:c r="AW32" s="58" t="n">
        <x:f>-Assumptions!$C$30*POWER(1+Assumptions!$C$40,3)*1.000000</x:f>
        <x:v>-347287.50000000006</x:v>
      </x:c>
      <x:c r="AX32" s="58" t="n">
        <x:f>-Assumptions!$C$30*POWER(1+Assumptions!$C$40,3)*1.000000</x:f>
        <x:v>-347287.50000000006</x:v>
      </x:c>
      <x:c r="AY32" s="58" t="n">
        <x:f>-Assumptions!$C$30*POWER(1+Assumptions!$C$40,3)*1.000000</x:f>
        <x:v>-347287.50000000006</x:v>
      </x:c>
      <x:c r="AZ32" s="58" t="n">
        <x:f>-Assumptions!$C$30*POWER(1+Assumptions!$C$40,3)*1.000000</x:f>
        <x:v>-347287.50000000006</x:v>
      </x:c>
      <x:c r="BA32" s="58" t="n">
        <x:f>-Assumptions!$C$30*POWER(1+Assumptions!$C$40,3)*1.000000</x:f>
        <x:v>-347287.50000000006</x:v>
      </x:c>
      <x:c r="BB32" s="58" t="n">
        <x:f>-Assumptions!$C$30*POWER(1+Assumptions!$C$40,3)*1.000000</x:f>
        <x:v>-347287.50000000006</x:v>
      </x:c>
      <x:c r="BC32" s="58" t="n">
        <x:f>-Assumptions!$C$30*POWER(1+Assumptions!$C$40,3)*1.000000</x:f>
        <x:v>-347287.50000000006</x:v>
      </x:c>
      <x:c r="BD32" s="58" t="n">
        <x:f>-Assumptions!$C$30*POWER(1+Assumptions!$C$40,3)*1.000000</x:f>
        <x:v>-347287.50000000006</x:v>
      </x:c>
      <x:c r="BE32" s="58" t="n">
        <x:f>-Assumptions!$C$30*POWER(1+Assumptions!$C$40,4)*1.000000</x:f>
        <x:v>-364651.87500000006</x:v>
      </x:c>
      <x:c r="BF32" s="58" t="n">
        <x:f>-Assumptions!$C$30*POWER(1+Assumptions!$C$40,4)*1.000000</x:f>
        <x:v>-364651.87500000006</x:v>
      </x:c>
      <x:c r="BG32" s="58" t="n">
        <x:f>-Assumptions!$C$30*POWER(1+Assumptions!$C$40,4)*1.000000</x:f>
        <x:v>-364651.87500000006</x:v>
      </x:c>
      <x:c r="BH32" s="58" t="n">
        <x:f>-Assumptions!$C$30*POWER(1+Assumptions!$C$40,4)*1.000000</x:f>
        <x:v>-364651.87500000006</x:v>
      </x:c>
      <x:c r="BI32" s="58" t="n">
        <x:f>-Assumptions!$C$30*POWER(1+Assumptions!$C$40,4)*1.000000</x:f>
        <x:v>-364651.87500000006</x:v>
      </x:c>
      <x:c r="BJ32" s="58" t="n">
        <x:f>-Assumptions!$C$30*POWER(1+Assumptions!$C$40,4)*1.000000</x:f>
        <x:v>-364651.87500000006</x:v>
      </x:c>
      <x:c r="BK32" s="58" t="n">
        <x:f>-Assumptions!$C$30*POWER(1+Assumptions!$C$40,4)*1.000000</x:f>
        <x:v>-364651.87500000006</x:v>
      </x:c>
      <x:c r="BL32" s="58" t="n">
        <x:f>-Assumptions!$C$30*POWER(1+Assumptions!$C$40,4)*1.000000</x:f>
        <x:v>-364651.87500000006</x:v>
      </x:c>
      <x:c r="BM32" s="58" t="n">
        <x:f>-Assumptions!$C$30*POWER(1+Assumptions!$C$40,4)*1.000000</x:f>
        <x:v>-364651.87500000006</x:v>
      </x:c>
      <x:c r="BN32" s="58" t="n">
        <x:f>-Assumptions!$C$30*POWER(1+Assumptions!$C$40,4)*1.000000</x:f>
        <x:v>-364651.87500000006</x:v>
      </x:c>
      <x:c r="BO32" s="58" t="n">
        <x:f>-Assumptions!$C$30*POWER(1+Assumptions!$C$40,4)*1.000000</x:f>
        <x:v>-364651.87500000006</x:v>
      </x:c>
      <x:c r="BP32" s="58" t="n">
        <x:f>-Assumptions!$C$30*POWER(1+Assumptions!$C$40,4)*1.000000</x:f>
        <x:v>-364651.87500000006</x:v>
      </x:c>
    </x:row>
    <x:row r="33">
      <x:c r="A33" s="26" t="str">
        <x:v>  Административные расходы</x:v>
      </x:c>
      <x:c r="B33" s="26" t="str">
        <x:v>Юристы, финансы и офис</x:v>
      </x:c>
      <x:c r="C33" s="63" t="n">
        <x:f>SUM(I33:T33)</x:f>
        <x:v>-1116000</x:v>
      </x:c>
      <x:c r="D33" s="67" t="n">
        <x:f>SUM(U33:AF33)</x:f>
        <x:v>-1512000</x:v>
      </x:c>
      <x:c r="E33" s="71" t="n">
        <x:f>SUM(AG33:AR33)</x:f>
        <x:v>-1587600</x:v>
      </x:c>
      <x:c r="F33" s="75" t="n">
        <x:f>SUM(AS33:BD33)</x:f>
        <x:v>-1666980.0000000002</x:v>
      </x:c>
      <x:c r="G33" s="79" t="n">
        <x:f>SUM(BE33:BP33)</x:f>
        <x:v>-1750329.0000000002</x:v>
      </x:c>
      <x:c r="H33" s="58"/>
      <x:c r="I33" s="58" t="n">
        <x:f>-Assumptions!$C$31*POWER(1+Assumptions!$C$40,0)*0.550000</x:f>
        <x:v>-66000</x:v>
      </x:c>
      <x:c r="J33" s="58" t="n">
        <x:f>-Assumptions!$C$31*POWER(1+Assumptions!$C$40,0)*0.590909</x:f>
        <x:v>-70909.08</x:v>
      </x:c>
      <x:c r="K33" s="58" t="n">
        <x:f>-Assumptions!$C$31*POWER(1+Assumptions!$C$40,0)*0.631818</x:f>
        <x:v>-75818.16</x:v>
      </x:c>
      <x:c r="L33" s="58" t="n">
        <x:f>-Assumptions!$C$31*POWER(1+Assumptions!$C$40,0)*0.672727</x:f>
        <x:v>-80727.23999999999</x:v>
      </x:c>
      <x:c r="M33" s="58" t="n">
        <x:f>-Assumptions!$C$31*POWER(1+Assumptions!$C$40,0)*0.713636</x:f>
        <x:v>-85636.32</x:v>
      </x:c>
      <x:c r="N33" s="58" t="n">
        <x:f>-Assumptions!$C$31*POWER(1+Assumptions!$C$40,0)*0.754545</x:f>
        <x:v>-90545.40000000001</x:v>
      </x:c>
      <x:c r="O33" s="58" t="n">
        <x:f>-Assumptions!$C$31*POWER(1+Assumptions!$C$40,0)*0.795455</x:f>
        <x:v>-95454.6</x:v>
      </x:c>
      <x:c r="P33" s="58" t="n">
        <x:f>-Assumptions!$C$31*POWER(1+Assumptions!$C$40,0)*0.836364</x:f>
        <x:v>-100363.68</x:v>
      </x:c>
      <x:c r="Q33" s="58" t="n">
        <x:f>-Assumptions!$C$31*POWER(1+Assumptions!$C$40,0)*0.877273</x:f>
        <x:v>-105272.76</x:v>
      </x:c>
      <x:c r="R33" s="58" t="n">
        <x:f>-Assumptions!$C$31*POWER(1+Assumptions!$C$40,0)*0.918182</x:f>
        <x:v>-110181.84000000001</x:v>
      </x:c>
      <x:c r="S33" s="58" t="n">
        <x:f>-Assumptions!$C$31*POWER(1+Assumptions!$C$40,0)*0.959091</x:f>
        <x:v>-115090.92</x:v>
      </x:c>
      <x:c r="T33" s="58" t="n">
        <x:f>-Assumptions!$C$31*POWER(1+Assumptions!$C$40,0)*1.000000</x:f>
        <x:v>-120000</x:v>
      </x:c>
      <x:c r="U33" s="58" t="n">
        <x:f>-Assumptions!$C$31*POWER(1+Assumptions!$C$40,1)*1.000000</x:f>
        <x:v>-126000</x:v>
      </x:c>
      <x:c r="V33" s="58" t="n">
        <x:f>-Assumptions!$C$31*POWER(1+Assumptions!$C$40,1)*1.000000</x:f>
        <x:v>-126000</x:v>
      </x:c>
      <x:c r="W33" s="58" t="n">
        <x:f>-Assumptions!$C$31*POWER(1+Assumptions!$C$40,1)*1.000000</x:f>
        <x:v>-126000</x:v>
      </x:c>
      <x:c r="X33" s="58" t="n">
        <x:f>-Assumptions!$C$31*POWER(1+Assumptions!$C$40,1)*1.000000</x:f>
        <x:v>-126000</x:v>
      </x:c>
      <x:c r="Y33" s="58" t="n">
        <x:f>-Assumptions!$C$31*POWER(1+Assumptions!$C$40,1)*1.000000</x:f>
        <x:v>-126000</x:v>
      </x:c>
      <x:c r="Z33" s="58" t="n">
        <x:f>-Assumptions!$C$31*POWER(1+Assumptions!$C$40,1)*1.000000</x:f>
        <x:v>-126000</x:v>
      </x:c>
      <x:c r="AA33" s="58" t="n">
        <x:f>-Assumptions!$C$31*POWER(1+Assumptions!$C$40,1)*1.000000</x:f>
        <x:v>-126000</x:v>
      </x:c>
      <x:c r="AB33" s="58" t="n">
        <x:f>-Assumptions!$C$31*POWER(1+Assumptions!$C$40,1)*1.000000</x:f>
        <x:v>-126000</x:v>
      </x:c>
      <x:c r="AC33" s="58" t="n">
        <x:f>-Assumptions!$C$31*POWER(1+Assumptions!$C$40,1)*1.000000</x:f>
        <x:v>-126000</x:v>
      </x:c>
      <x:c r="AD33" s="58" t="n">
        <x:f>-Assumptions!$C$31*POWER(1+Assumptions!$C$40,1)*1.000000</x:f>
        <x:v>-126000</x:v>
      </x:c>
      <x:c r="AE33" s="58" t="n">
        <x:f>-Assumptions!$C$31*POWER(1+Assumptions!$C$40,1)*1.000000</x:f>
        <x:v>-126000</x:v>
      </x:c>
      <x:c r="AF33" s="58" t="n">
        <x:f>-Assumptions!$C$31*POWER(1+Assumptions!$C$40,1)*1.000000</x:f>
        <x:v>-126000</x:v>
      </x:c>
      <x:c r="AG33" s="58" t="n">
        <x:f>-Assumptions!$C$31*POWER(1+Assumptions!$C$40,2)*1.000000</x:f>
        <x:v>-132300</x:v>
      </x:c>
      <x:c r="AH33" s="58" t="n">
        <x:f>-Assumptions!$C$31*POWER(1+Assumptions!$C$40,2)*1.000000</x:f>
        <x:v>-132300</x:v>
      </x:c>
      <x:c r="AI33" s="58" t="n">
        <x:f>-Assumptions!$C$31*POWER(1+Assumptions!$C$40,2)*1.000000</x:f>
        <x:v>-132300</x:v>
      </x:c>
      <x:c r="AJ33" s="58" t="n">
        <x:f>-Assumptions!$C$31*POWER(1+Assumptions!$C$40,2)*1.000000</x:f>
        <x:v>-132300</x:v>
      </x:c>
      <x:c r="AK33" s="58" t="n">
        <x:f>-Assumptions!$C$31*POWER(1+Assumptions!$C$40,2)*1.000000</x:f>
        <x:v>-132300</x:v>
      </x:c>
      <x:c r="AL33" s="58" t="n">
        <x:f>-Assumptions!$C$31*POWER(1+Assumptions!$C$40,2)*1.000000</x:f>
        <x:v>-132300</x:v>
      </x:c>
      <x:c r="AM33" s="58" t="n">
        <x:f>-Assumptions!$C$31*POWER(1+Assumptions!$C$40,2)*1.000000</x:f>
        <x:v>-132300</x:v>
      </x:c>
      <x:c r="AN33" s="58" t="n">
        <x:f>-Assumptions!$C$31*POWER(1+Assumptions!$C$40,2)*1.000000</x:f>
        <x:v>-132300</x:v>
      </x:c>
      <x:c r="AO33" s="58" t="n">
        <x:f>-Assumptions!$C$31*POWER(1+Assumptions!$C$40,2)*1.000000</x:f>
        <x:v>-132300</x:v>
      </x:c>
      <x:c r="AP33" s="58" t="n">
        <x:f>-Assumptions!$C$31*POWER(1+Assumptions!$C$40,2)*1.000000</x:f>
        <x:v>-132300</x:v>
      </x:c>
      <x:c r="AQ33" s="58" t="n">
        <x:f>-Assumptions!$C$31*POWER(1+Assumptions!$C$40,2)*1.000000</x:f>
        <x:v>-132300</x:v>
      </x:c>
      <x:c r="AR33" s="58" t="n">
        <x:f>-Assumptions!$C$31*POWER(1+Assumptions!$C$40,2)*1.000000</x:f>
        <x:v>-132300</x:v>
      </x:c>
      <x:c r="AS33" s="58" t="n">
        <x:f>-Assumptions!$C$31*POWER(1+Assumptions!$C$40,3)*1.000000</x:f>
        <x:v>-138915.00000000003</x:v>
      </x:c>
      <x:c r="AT33" s="58" t="n">
        <x:f>-Assumptions!$C$31*POWER(1+Assumptions!$C$40,3)*1.000000</x:f>
        <x:v>-138915.00000000003</x:v>
      </x:c>
      <x:c r="AU33" s="58" t="n">
        <x:f>-Assumptions!$C$31*POWER(1+Assumptions!$C$40,3)*1.000000</x:f>
        <x:v>-138915.00000000003</x:v>
      </x:c>
      <x:c r="AV33" s="58" t="n">
        <x:f>-Assumptions!$C$31*POWER(1+Assumptions!$C$40,3)*1.000000</x:f>
        <x:v>-138915.00000000003</x:v>
      </x:c>
      <x:c r="AW33" s="58" t="n">
        <x:f>-Assumptions!$C$31*POWER(1+Assumptions!$C$40,3)*1.000000</x:f>
        <x:v>-138915.00000000003</x:v>
      </x:c>
      <x:c r="AX33" s="58" t="n">
        <x:f>-Assumptions!$C$31*POWER(1+Assumptions!$C$40,3)*1.000000</x:f>
        <x:v>-138915.00000000003</x:v>
      </x:c>
      <x:c r="AY33" s="58" t="n">
        <x:f>-Assumptions!$C$31*POWER(1+Assumptions!$C$40,3)*1.000000</x:f>
        <x:v>-138915.00000000003</x:v>
      </x:c>
      <x:c r="AZ33" s="58" t="n">
        <x:f>-Assumptions!$C$31*POWER(1+Assumptions!$C$40,3)*1.000000</x:f>
        <x:v>-138915.00000000003</x:v>
      </x:c>
      <x:c r="BA33" s="58" t="n">
        <x:f>-Assumptions!$C$31*POWER(1+Assumptions!$C$40,3)*1.000000</x:f>
        <x:v>-138915.00000000003</x:v>
      </x:c>
      <x:c r="BB33" s="58" t="n">
        <x:f>-Assumptions!$C$31*POWER(1+Assumptions!$C$40,3)*1.000000</x:f>
        <x:v>-138915.00000000003</x:v>
      </x:c>
      <x:c r="BC33" s="58" t="n">
        <x:f>-Assumptions!$C$31*POWER(1+Assumptions!$C$40,3)*1.000000</x:f>
        <x:v>-138915.00000000003</x:v>
      </x:c>
      <x:c r="BD33" s="58" t="n">
        <x:f>-Assumptions!$C$31*POWER(1+Assumptions!$C$40,3)*1.000000</x:f>
        <x:v>-138915.00000000003</x:v>
      </x:c>
      <x:c r="BE33" s="58" t="n">
        <x:f>-Assumptions!$C$31*POWER(1+Assumptions!$C$40,4)*1.000000</x:f>
        <x:v>-145860.75000000003</x:v>
      </x:c>
      <x:c r="BF33" s="58" t="n">
        <x:f>-Assumptions!$C$31*POWER(1+Assumptions!$C$40,4)*1.000000</x:f>
        <x:v>-145860.75000000003</x:v>
      </x:c>
      <x:c r="BG33" s="58" t="n">
        <x:f>-Assumptions!$C$31*POWER(1+Assumptions!$C$40,4)*1.000000</x:f>
        <x:v>-145860.75000000003</x:v>
      </x:c>
      <x:c r="BH33" s="58" t="n">
        <x:f>-Assumptions!$C$31*POWER(1+Assumptions!$C$40,4)*1.000000</x:f>
        <x:v>-145860.75000000003</x:v>
      </x:c>
      <x:c r="BI33" s="58" t="n">
        <x:f>-Assumptions!$C$31*POWER(1+Assumptions!$C$40,4)*1.000000</x:f>
        <x:v>-145860.75000000003</x:v>
      </x:c>
      <x:c r="BJ33" s="58" t="n">
        <x:f>-Assumptions!$C$31*POWER(1+Assumptions!$C$40,4)*1.000000</x:f>
        <x:v>-145860.75000000003</x:v>
      </x:c>
      <x:c r="BK33" s="58" t="n">
        <x:f>-Assumptions!$C$31*POWER(1+Assumptions!$C$40,4)*1.000000</x:f>
        <x:v>-145860.75000000003</x:v>
      </x:c>
      <x:c r="BL33" s="58" t="n">
        <x:f>-Assumptions!$C$31*POWER(1+Assumptions!$C$40,4)*1.000000</x:f>
        <x:v>-145860.75000000003</x:v>
      </x:c>
      <x:c r="BM33" s="58" t="n">
        <x:f>-Assumptions!$C$31*POWER(1+Assumptions!$C$40,4)*1.000000</x:f>
        <x:v>-145860.75000000003</x:v>
      </x:c>
      <x:c r="BN33" s="58" t="n">
        <x:f>-Assumptions!$C$31*POWER(1+Assumptions!$C$40,4)*1.000000</x:f>
        <x:v>-145860.75000000003</x:v>
      </x:c>
      <x:c r="BO33" s="58" t="n">
        <x:f>-Assumptions!$C$31*POWER(1+Assumptions!$C$40,4)*1.000000</x:f>
        <x:v>-145860.75000000003</x:v>
      </x:c>
      <x:c r="BP33" s="58" t="n">
        <x:f>-Assumptions!$C$31*POWER(1+Assumptions!$C$40,4)*1.000000</x:f>
        <x:v>-145860.75000000003</x:v>
      </x:c>
    </x:row>
    <x:row r="34">
      <x:c r="A34" s="26"/>
      <x:c r="B34" s="26"/>
      <x:c r="C34" s="63"/>
      <x:c r="D34" s="67"/>
      <x:c r="E34" s="71"/>
      <x:c r="F34" s="75"/>
      <x:c r="G34" s="79"/>
      <x:c r="H34" s="58"/>
      <x:c r="I34" s="58"/>
      <x:c r="J34" s="58"/>
      <x:c r="K34" s="58"/>
      <x:c r="L34" s="58"/>
      <x:c r="M34" s="58"/>
      <x:c r="N34" s="58"/>
      <x:c r="O34" s="58"/>
      <x:c r="P34" s="58"/>
      <x:c r="Q34" s="58"/>
      <x:c r="R34" s="58"/>
      <x:c r="S34" s="58"/>
      <x:c r="T34" s="58"/>
      <x:c r="U34" s="58"/>
      <x:c r="V34" s="58"/>
      <x:c r="W34" s="58"/>
      <x:c r="X34" s="58"/>
      <x:c r="Y34" s="58"/>
      <x:c r="Z34" s="58"/>
      <x:c r="AA34" s="58"/>
      <x:c r="AB34" s="58"/>
      <x:c r="AC34" s="58"/>
      <x:c r="AD34" s="58"/>
      <x:c r="AE34" s="58"/>
      <x:c r="AF34" s="58"/>
      <x:c r="AG34" s="58"/>
      <x:c r="AH34" s="58"/>
      <x:c r="AI34" s="58"/>
      <x:c r="AJ34" s="58"/>
      <x:c r="AK34" s="58"/>
      <x:c r="AL34" s="58"/>
      <x:c r="AM34" s="58"/>
      <x:c r="AN34" s="58"/>
      <x:c r="AO34" s="58"/>
      <x:c r="AP34" s="58"/>
      <x:c r="AQ34" s="58"/>
      <x:c r="AR34" s="58"/>
      <x:c r="AS34" s="58"/>
      <x:c r="AT34" s="58"/>
      <x:c r="AU34" s="58"/>
      <x:c r="AV34" s="58"/>
      <x:c r="AW34" s="58"/>
      <x:c r="AX34" s="58"/>
      <x:c r="AY34" s="58"/>
      <x:c r="AZ34" s="58"/>
      <x:c r="BA34" s="58"/>
      <x:c r="BB34" s="58"/>
      <x:c r="BC34" s="58"/>
      <x:c r="BD34" s="58"/>
      <x:c r="BE34" s="58"/>
      <x:c r="BF34" s="58"/>
      <x:c r="BG34" s="58"/>
      <x:c r="BH34" s="58"/>
      <x:c r="BI34" s="58"/>
      <x:c r="BJ34" s="58"/>
      <x:c r="BK34" s="58"/>
      <x:c r="BL34" s="58"/>
      <x:c r="BM34" s="58"/>
      <x:c r="BN34" s="58"/>
      <x:c r="BO34" s="58"/>
      <x:c r="BP34" s="58"/>
    </x:row>
    <x:row r="35">
      <x:c r="A35" s="114" t="str">
        <x:v>EBITDA</x:v>
      </x:c>
      <x:c r="B35" s="114" t="str">
        <x:v>Валовая прибыль минус операционные расходы</x:v>
      </x:c>
      <x:c r="C35" s="119" t="n">
        <x:f>SUM(I35:T35)</x:f>
        <x:v>31651000.000000004</x:v>
      </x:c>
      <x:c r="D35" s="122" t="n">
        <x:f>SUM(U35:AF35)</x:f>
        <x:v>48384499.99997906</x:v>
      </x:c>
      <x:c r="E35" s="124" t="n">
        <x:f>SUM(AG35:AR35)</x:f>
        <x:v>78973499.9999468</x:v>
      </x:c>
      <x:c r="F35" s="127" t="n">
        <x:f>SUM(AS35:BD35)</x:f>
        <x:v>134295074.9999585</x:v>
      </x:c>
      <x:c r="G35" s="130" t="n">
        <x:f>SUM(BE35:BP35)</x:f>
        <x:v>234656228.75000516</x:v>
      </x:c>
      <x:c r="H35" s="116"/>
      <x:c r="I35" s="116" t="n">
        <x:f>I25+I28</x:f>
        <x:v>2515750</x:v>
      </x:c>
      <x:c r="J35" s="116" t="n">
        <x:f>J25+J28</x:f>
        <x:v>2512476.45</x:v>
      </x:c>
      <x:c r="K35" s="116" t="n">
        <x:f>K25+K28</x:f>
        <x:v>2518202.9</x:v>
      </x:c>
      <x:c r="L35" s="116" t="n">
        <x:f>L25+L28</x:f>
        <x:v>2559519.35</x:v>
      </x:c>
      <x:c r="M35" s="116" t="n">
        <x:f>M25+M28</x:f>
        <x:v>2565245.8</x:v>
      </x:c>
      <x:c r="N35" s="116" t="n">
        <x:f>N25+N28</x:f>
        <x:v>2561972.25</x:v>
      </x:c>
      <x:c r="O35" s="116" t="n">
        <x:f>O25+O28</x:f>
        <x:v>2603287.75</x:v>
      </x:c>
      <x:c r="P35" s="116" t="n">
        <x:f>P25+P28</x:f>
        <x:v>2600014.2</x:v>
      </x:c>
      <x:c r="Q35" s="116" t="n">
        <x:f>Q25+Q28</x:f>
        <x:v>2650330.6500000004</x:v>
      </x:c>
      <x:c r="R35" s="116" t="n">
        <x:f>R25+R28</x:f>
        <x:v>2691647.0999999996</x:v>
      </x:c>
      <x:c r="S35" s="116" t="n">
        <x:f>S25+S28</x:f>
        <x:v>2893323.55</x:v>
      </x:c>
      <x:c r="T35" s="116" t="n">
        <x:f>T25+T28</x:f>
        <x:v>2979230</x:v>
      </x:c>
      <x:c r="U35" s="116" t="n">
        <x:f>U25+U28</x:f>
        <x:v>3529312.499998428</x:v>
      </x:c>
      <x:c r="V35" s="116" t="n">
        <x:f>V25+V28</x:f>
        <x:v>3586669.9999984074</x:v>
      </x:c>
      <x:c r="W35" s="116" t="n">
        <x:f>W25+W28</x:f>
        <x:v>3653027.499998387</x:v>
      </x:c>
      <x:c r="X35" s="116" t="n">
        <x:f>X25+X28</x:f>
        <x:v>3767742.499998346</x:v>
      </x:c>
      <x:c r="Y35" s="116" t="n">
        <x:f>Y25+Y28</x:f>
        <x:v>3834099.9999983236</x:v>
      </x:c>
      <x:c r="Z35" s="116" t="n">
        <x:f>Z25+Z28</x:f>
        <x:v>3891457.499998303</x:v>
      </x:c>
      <x:c r="AA35" s="116" t="n">
        <x:f>AA25+AA28</x:f>
        <x:v>4015172.499998262</x:v>
      </x:c>
      <x:c r="AB35" s="116" t="n">
        <x:f>AB25+AB28</x:f>
        <x:v>4072529.99999824</x:v>
      </x:c>
      <x:c r="AC35" s="116" t="n">
        <x:f>AC25+AC28</x:f>
        <x:v>4196244.999998197</x:v>
      </x:c>
      <x:c r="AD35" s="116" t="n">
        <x:f>AD25+AD28</x:f>
        <x:v>4310959.999998156</x:v>
      </x:c>
      <x:c r="AE35" s="116" t="n">
        <x:f>AE25+AE28</x:f>
        <x:v>4673104.99999803</x:v>
      </x:c>
      <x:c r="AF35" s="116" t="n">
        <x:f>AF25+AF28</x:f>
        <x:v>4854177.499997968</x:v>
      </x:c>
      <x:c r="AG35" s="116" t="n">
        <x:f>AG25+AG28</x:f>
        <x:v>5815124.999996009</x:v>
      </x:c>
      <x:c r="AH35" s="116" t="n">
        <x:f>AH25+AH28</x:f>
        <x:v>5906504.999995956</x:v>
      </x:c>
      <x:c r="AI35" s="116" t="n">
        <x:f>AI25+AI28</x:f>
        <x:v>5997884.999995902</x:v>
      </x:c>
      <x:c r="AJ35" s="116" t="n">
        <x:f>AJ25+AJ28</x:f>
        <x:v>6180644.999995797</x:v>
      </x:c>
      <x:c r="AK35" s="116" t="n">
        <x:f>AK25+AK28</x:f>
        <x:v>6281024.999995744</x:v>
      </x:c>
      <x:c r="AL35" s="116" t="n">
        <x:f>AL25+AL28</x:f>
        <x:v>6372404.99999569</x:v>
      </x:c>
      <x:c r="AM35" s="116" t="n">
        <x:f>AM25+AM28</x:f>
        <x:v>6546164.9999955855</x:v>
      </x:c>
      <x:c r="AN35" s="116" t="n">
        <x:f>AN25+AN28</x:f>
        <x:v>6637544.9999955315</x:v>
      </x:c>
      <x:c r="AO35" s="116" t="n">
        <x:f>AO25+AO28</x:f>
        <x:v>6829304.9999954235</x:v>
      </x:c>
      <x:c r="AP35" s="116" t="n">
        <x:f>AP25+AP28</x:f>
        <x:v>7012064.999995317</x:v>
      </x:c>
      <x:c r="AQ35" s="116" t="n">
        <x:f>AQ25+AQ28</x:f>
        <x:v>7560344.999994999</x:v>
      </x:c>
      <x:c r="AR35" s="116" t="n">
        <x:f>AR25+AR28</x:f>
        <x:v>7834484.9999948405</x:v>
      </x:c>
      <x:c r="AS35" s="116" t="n">
        <x:f>AS25+AS28</x:f>
        <x:v>9968006.249996886</x:v>
      </x:c>
      <x:c r="AT35" s="116" t="n">
        <x:f>AT25+AT28</x:f>
        <x:v>10111376.249996845</x:v>
      </x:c>
      <x:c r="AU35" s="116" t="n">
        <x:f>AU25+AU28</x:f>
        <x:v>10254746.249996804</x:v>
      </x:c>
      <x:c r="AV35" s="116" t="n">
        <x:f>AV25+AV28</x:f>
        <x:v>10550486.249996722</x:v>
      </x:c>
      <x:c r="AW35" s="116" t="n">
        <x:f>AW25+AW28</x:f>
        <x:v>10702856.24999668</x:v>
      </x:c>
      <x:c r="AX35" s="116" t="n">
        <x:f>AX25+AX28</x:f>
        <x:v>10846226.24999664</x:v>
      </x:c>
      <x:c r="AY35" s="116" t="n">
        <x:f>AY25+AY28</x:f>
        <x:v>11141966.249996554</x:v>
      </x:c>
      <x:c r="AZ35" s="116" t="n">
        <x:f>AZ25+AZ28</x:f>
        <x:v>11285336.249996513</x:v>
      </x:c>
      <x:c r="BA35" s="116" t="n">
        <x:f>BA25+BA28</x:f>
        <x:v>11581076.249996427</x:v>
      </x:c>
      <x:c r="BB35" s="116" t="n">
        <x:f>BB25+BB28</x:f>
        <x:v>11876816.249996347</x:v>
      </x:c>
      <x:c r="BC35" s="116" t="n">
        <x:f>BC25+BC28</x:f>
        <x:v>12764036.249996098</x:v>
      </x:c>
      <x:c r="BD35" s="116" t="n">
        <x:f>BD25+BD28</x:f>
        <x:v>13212146.249995975</x:v>
      </x:c>
      <x:c r="BE35" s="116" t="n">
        <x:f>BE25+BE28</x:f>
        <x:v>17484194.062500387</x:v>
      </x:c>
      <x:c r="BF35" s="116" t="n">
        <x:f>BF25+BF28</x:f>
        <x:v>17728513.06250039</x:v>
      </x:c>
      <x:c r="BG35" s="116" t="n">
        <x:f>BG25+BG28</x:f>
        <x:v>17981832.062500395</x:v>
      </x:c>
      <x:c r="BH35" s="116" t="n">
        <x:f>BH25+BH28</x:f>
        <x:v>18479470.062500406</x:v>
      </x:c>
      <x:c r="BI35" s="116" t="n">
        <x:f>BI25+BI28</x:f>
        <x:v>18723789.06250041</x:v>
      </x:c>
      <x:c r="BJ35" s="116" t="n">
        <x:f>BJ25+BJ28</x:f>
        <x:v>18977108.062500417</x:v>
      </x:c>
      <x:c r="BK35" s="116" t="n">
        <x:f>BK25+BK28</x:f>
        <x:v>19474746.062500425</x:v>
      </x:c>
      <x:c r="BL35" s="116" t="n">
        <x:f>BL25+BL28</x:f>
        <x:v>19719065.062500432</x:v>
      </x:c>
      <x:c r="BM35" s="116" t="n">
        <x:f>BM25+BM28</x:f>
        <x:v>20216703.06250044</x:v>
      </x:c>
      <x:c r="BN35" s="116" t="n">
        <x:f>BN25+BN28</x:f>
        <x:v>20714341.062500447</x:v>
      </x:c>
      <x:c r="BO35" s="116" t="n">
        <x:f>BO25+BO28</x:f>
        <x:v>22207255.062500477</x:v>
      </x:c>
      <x:c r="BP35" s="116" t="n">
        <x:f>BP25+BP28</x:f>
        <x:v>22949212.0625005</x:v>
      </x:c>
    </x:row>
    <x:row r="36">
      <x:c r="A36" s="26" t="str">
        <x:v>EBITDA margin</x:v>
      </x:c>
      <x:c r="B36" s="26" t="str">
        <x:v>Доля EBITDA в выручке</x:v>
      </x:c>
      <x:c r="C36" s="65" t="n">
        <x:f>IF(C7=0,"n.a.",C35/C7)</x:f>
        <x:v>0.4869384615384616</x:v>
      </x:c>
      <x:c r="D36" s="69" t="n">
        <x:f>IF(D7=0,"n.a.",D35/D7)</x:f>
        <x:v>0.5093105263157297</x:v>
      </x:c>
      <x:c r="E36" s="73" t="n">
        <x:f>IF(E7=0,"n.a.",E35/E7)</x:f>
        <x:v>0.5640964285713476</x:v>
      </x:c>
      <x:c r="F36" s="77" t="n">
        <x:f>IF(F7=0,"n.a.",F35/F7)</x:f>
        <x:v>0.6104321590908773</x:v>
      </x:c>
      <x:c r="G36" s="81" t="n">
        <x:f>IF(G7=0,"n.a.",G35/G7)</x:f>
        <x:v>0.6482216263812174</x:v>
      </x:c>
      <x:c r="H36" s="60"/>
      <x:c r="I36" s="60" t="n">
        <x:f>IF(I7=0,"n.a.",I35/I7)</x:f>
        <x:v>0.516051282051282</x:v>
      </x:c>
      <x:c r="J36" s="60" t="n">
        <x:f>IF(J7=0,"n.a.",J35/J7)</x:f>
        <x:v>0.5085984716599191</x:v>
      </x:c>
      <x:c r="K36" s="60" t="n">
        <x:f>IF(K7=0,"n.a.",K35/K7)</x:f>
        <x:v>0.5031374425574425</x:v>
      </x:c>
      <x:c r="L36" s="60" t="n">
        <x:f>IF(L7=0,"n.a.",L35/L7)</x:f>
        <x:v>0.4984458325219085</x:v>
      </x:c>
      <x:c r="M36" s="60" t="n">
        <x:f>IF(M7=0,"n.a.",M35/M7)</x:f>
        <x:v>0.4933165</x:v>
      </x:c>
      <x:c r="N36" s="60" t="n">
        <x:f>IF(N7=0,"n.a.",N35/N7)</x:f>
        <x:v>0.48660441595441595</x:v>
      </x:c>
      <x:c r="O36" s="60" t="n">
        <x:f>IF(O7=0,"n.a.",O35/O7)</x:f>
        <x:v>0.48253711770157554</x:v>
      </x:c>
      <x:c r="P36" s="60" t="n">
        <x:f>IF(P7=0,"n.a.",P35/P7)</x:f>
        <x:v>0.47619307692307694</x:v>
      </x:c>
      <x:c r="Q36" s="60" t="n">
        <x:f>IF(Q7=0,"n.a.",Q35/Q7)</x:f>
        <x:v>0.47411997316636856</x:v>
      </x:c>
      <x:c r="R36" s="60" t="n">
        <x:f>IF(R7=0,"n.a.",R35/R7)</x:f>
        <x:v>0.47056767482517475</x:v>
      </x:c>
      <x:c r="S36" s="60" t="n">
        <x:f>IF(S7=0,"n.a.",S35/S7)</x:f>
        <x:v>0.47353904255319146</x:v>
      </x:c>
      <x:c r="T36" s="60" t="n">
        <x:f>IF(T7=0,"n.a.",T35/T7)</x:f>
        <x:v>0.47251863600317207</x:v>
      </x:c>
      <x:c r="U36" s="60" t="n">
        <x:f>IF(U7=0,"n.a.",U35/U7)</x:f>
        <x:v>0.4953421052630937</x:v>
      </x:c>
      <x:c r="V36" s="60" t="n">
        <x:f>IF(V7=0,"n.a.",V35/V7)</x:f>
        <x:v>0.49676869806087814</x:v>
      </x:c>
      <x:c r="W36" s="60" t="n">
        <x:f>IF(W7=0,"n.a.",W35/W7)</x:f>
        <x:v>0.4993885850990486</x:v>
      </x:c>
      <x:c r="X36" s="60" t="n">
        <x:f>IF(X7=0,"n.a.",X35/X7)</x:f>
        <x:v>0.50203097934704</x:v>
      </x:c>
      <x:c r="Y36" s="60" t="n">
        <x:f>IF(Y7=0,"n.a.",Y35/Y7)</x:f>
        <x:v>0.5044868421052018</x:v>
      </x:c>
      <x:c r="Z36" s="60" t="n">
        <x:f>IF(Z7=0,"n.a.",Z35/Z7)</x:f>
        <x:v>0.5057124756334674</x:v>
      </x:c>
      <x:c r="AA36" s="60" t="n">
        <x:f>IF(AA7=0,"n.a.",AA35/AA7)</x:f>
        <x:v>0.5092165504121153</x:v>
      </x:c>
      <x:c r="AB36" s="60" t="n">
        <x:f>IF(AB7=0,"n.a.",AB35/AB7)</x:f>
        <x:v>0.5103421052630984</x:v>
      </x:c>
      <x:c r="AC36" s="60" t="n">
        <x:f>IF(AC7=0,"n.a.",AC35/AC7)</x:f>
        <x:v>0.513616279069709</x:v>
      </x:c>
      <x:c r="AD36" s="60" t="n">
        <x:f>IF(AD7=0,"n.a.",AD35/AD7)</x:f>
        <x:v>0.5156650717702772</x:v>
      </x:c>
      <x:c r="AE36" s="60" t="n">
        <x:f>IF(AE7=0,"n.a.",AE35/AE7)</x:f>
        <x:v>0.5233040313549279</x:v>
      </x:c>
      <x:c r="AF36" s="60" t="n">
        <x:f>IF(AF7=0,"n.a.",AF35/AF7)</x:f>
        <x:v>0.526769126424254</x:v>
      </x:c>
      <x:c r="AG36" s="60" t="n">
        <x:f>IF(AG7=0,"n.a.",AG35/AG7)</x:f>
        <x:v>0.5538214285713421</x:v>
      </x:c>
      <x:c r="AH36" s="60" t="n">
        <x:f>IF(AH7=0,"n.a.",AH35/AH7)</x:f>
        <x:v>0.5551226503758541</x:v>
      </x:c>
      <x:c r="AI36" s="60" t="n">
        <x:f>IF(AI7=0,"n.a.",AI35/AI7)</x:f>
        <x:v>0.5563900742114176</x:v>
      </x:c>
      <x:c r="AJ36" s="60" t="n">
        <x:f>IF(AJ7=0,"n.a.",AJ35/AJ7)</x:f>
        <x:v>0.5588286618444008</x:v>
      </x:c>
      <x:c r="AK36" s="60" t="n">
        <x:f>IF(AK7=0,"n.a.",AK35/AK7)</x:f>
        <x:v>0.5608058035713458</x:v>
      </x:c>
      <x:c r="AL36" s="60" t="n">
        <x:f>IF(AL7=0,"n.a.",AL35/AL7)</x:f>
        <x:v>0.561940476190394</x:v>
      </x:c>
      <x:c r="AM36" s="60" t="n">
        <x:f>IF(AM7=0,"n.a.",AM35/AM7)</x:f>
        <x:v>0.5633532702236708</x:v>
      </x:c>
      <x:c r="AN36" s="60" t="n">
        <x:f>IF(AN7=0,"n.a.",AN35/AN7)</x:f>
        <x:v>0.5644170918366539</x:v>
      </x:c>
      <x:c r="AO36" s="60" t="n">
        <x:f>IF(AO7=0,"n.a.",AO35/AO7)</x:f>
        <x:v>0.5672180232557346</x:v>
      </x:c>
      <x:c r="AP36" s="60" t="n">
        <x:f>IF(AP7=0,"n.a.",AP35/AP7)</x:f>
        <x:v>0.5691611201297917</x:v>
      </x:c>
      <x:c r="AQ36" s="60" t="n">
        <x:f>IF(AQ7=0,"n.a.",AQ35/AQ7)</x:f>
        <x:v>0.5744943009117786</x:v>
      </x:c>
      <x:c r="AR36" s="60" t="n">
        <x:f>IF(AR7=0,"n.a.",AR35/AR7)</x:f>
        <x:v>0.576913475699484</x:v>
      </x:c>
      <x:c r="AS36" s="60" t="n">
        <x:f>IF(AS7=0,"n.a.",AS35/AS7)</x:f>
        <x:v>0.6041215909090576</x:v>
      </x:c>
      <x:c r="AT36" s="60" t="n">
        <x:f>IF(AT7=0,"n.a.",AT35/AT7)</x:f>
        <x:v>0.6047473833731726</x:v>
      </x:c>
      <x:c r="AU36" s="60" t="n">
        <x:f>IF(AU7=0,"n.a.",AU35/AU7)</x:f>
        <x:v>0.6053569214875704</x:v>
      </x:c>
      <x:c r="AV36" s="60" t="n">
        <x:f>IF(AV7=0,"n.a.",AV35/AV7)</x:f>
        <x:v>0.607047540276147</x:v>
      </x:c>
      <x:c r="AW36" s="60" t="n">
        <x:f>IF(AW7=0,"n.a.",AW35/AW7)</x:f>
        <x:v>0.6081168323863314</x:v>
      </x:c>
      <x:c r="AX36" s="60" t="n">
        <x:f>IF(AX7=0,"n.a.",AX35/AX7)</x:f>
        <x:v>0.6086546717171396</x:v>
      </x:c>
      <x:c r="AY36" s="60" t="n">
        <x:f>IF(AY7=0,"n.a.",AY35/AY7)</x:f>
        <x:v>0.610184351040494</x:v>
      </x:c>
      <x:c r="AZ36" s="60" t="n">
        <x:f>IF(AZ7=0,"n.a.",AZ35/AZ7)</x:f>
        <x:v>0.610678368506462</x:v>
      </x:c>
      <x:c r="BA36" s="60" t="n">
        <x:f>IF(BA7=0,"n.a.",BA35/BA7)</x:f>
        <x:v>0.6121076242071568</x:v>
      </x:c>
      <x:c r="BB36" s="60" t="n">
        <x:f>IF(BB7=0,"n.a.",BB35/BB7)</x:f>
        <x:v>0.6134719137396386</x:v>
      </x:c>
      <x:c r="BC36" s="60" t="n">
        <x:f>IF(BC7=0,"n.a.",BC35/BC7)</x:f>
        <x:v>0.6172164530947476</x:v>
      </x:c>
      <x:c r="BD36" s="60" t="n">
        <x:f>IF(BD7=0,"n.a.",BD35/BD7)</x:f>
        <x:v>0.6191258786316481</x:v>
      </x:c>
      <x:c r="BE36" s="60" t="n">
        <x:f>IF(BE7=0,"n.a.",BE35/BE7)</x:f>
        <x:v>0.6439850483425436</x:v>
      </x:c>
      <x:c r="BF36" s="60" t="n">
        <x:f>IF(BF7=0,"n.a.",BF35/BF7)</x:f>
        <x:v>0.6443920130306795</x:v>
      </x:c>
      <x:c r="BG36" s="60" t="n">
        <x:f>IF(BG7=0,"n.a.",BG35/BG7)</x:f>
        <x:v>0.6451112887457865</x:v>
      </x:c>
      <x:c r="BH36" s="60" t="n">
        <x:f>IF(BH7=0,"n.a.",BH35/BH7)</x:f>
        <x:v>0.6461805043184858</x:v>
      </x:c>
      <x:c r="BI36" s="60" t="n">
        <x:f>IF(BI7=0,"n.a.",BI35/BI7)</x:f>
        <x:v>0.6465396775725157</x:v>
      </x:c>
      <x:c r="BJ36" s="60" t="n">
        <x:f>IF(BJ7=0,"n.a.",BJ35/BJ7)</x:f>
        <x:v>0.6471969191221628</x:v>
      </x:c>
      <x:c r="BK36" s="60" t="n">
        <x:f>IF(BK7=0,"n.a.",BK35/BK7)</x:f>
        <x:v>0.6481643500798794</x:v>
      </x:c>
      <x:c r="BL36" s="60" t="n">
        <x:f>IF(BL7=0,"n.a.",BL35/BL7)</x:f>
        <x:v>0.6484828026341771</x:v>
      </x:c>
      <x:c r="BM36" s="60" t="n">
        <x:f>IF(BM7=0,"n.a.",BM35/BM7)</x:f>
        <x:v>0.6493865817326242</x:v>
      </x:c>
      <x:c r="BN36" s="60" t="n">
        <x:f>IF(BN7=0,"n.a.",BN35/BN7)</x:f>
        <x:v>0.6502492799629601</x:v>
      </x:c>
      <x:c r="BO36" s="60" t="n">
        <x:f>IF(BO7=0,"n.a.",BO35/BO7)</x:f>
        <x:v>0.6526171112760097</x:v>
      </x:c>
      <x:c r="BP36" s="60" t="n">
        <x:f>IF(BP7=0,"n.a.",BP35/BP7)</x:f>
        <x:v>0.6535630250754704</x:v>
      </x:c>
    </x:row>
    <x:row r="37">
      <x:c r="A37" s="26"/>
      <x:c r="B37" s="26"/>
      <x:c r="C37" s="63"/>
      <x:c r="D37" s="67"/>
      <x:c r="E37" s="71"/>
      <x:c r="F37" s="75"/>
      <x:c r="G37" s="79"/>
      <x:c r="H37" s="58"/>
      <x:c r="I37" s="58"/>
      <x:c r="J37" s="58"/>
      <x:c r="K37" s="58"/>
      <x:c r="L37" s="58"/>
      <x:c r="M37" s="58"/>
      <x:c r="N37" s="58"/>
      <x:c r="O37" s="58"/>
      <x:c r="P37" s="58"/>
      <x:c r="Q37" s="58"/>
      <x:c r="R37" s="58"/>
      <x:c r="S37" s="58"/>
      <x:c r="T37" s="58"/>
      <x:c r="U37" s="58"/>
      <x:c r="V37" s="58"/>
      <x:c r="W37" s="58"/>
      <x:c r="X37" s="58"/>
      <x:c r="Y37" s="58"/>
      <x:c r="Z37" s="58"/>
      <x:c r="AA37" s="58"/>
      <x:c r="AB37" s="58"/>
      <x:c r="AC37" s="58"/>
      <x:c r="AD37" s="58"/>
      <x:c r="AE37" s="58"/>
      <x:c r="AF37" s="58"/>
      <x:c r="AG37" s="58"/>
      <x:c r="AH37" s="58"/>
      <x:c r="AI37" s="58"/>
      <x:c r="AJ37" s="58"/>
      <x:c r="AK37" s="58"/>
      <x:c r="AL37" s="58"/>
      <x:c r="AM37" s="58"/>
      <x:c r="AN37" s="58"/>
      <x:c r="AO37" s="58"/>
      <x:c r="AP37" s="58"/>
      <x:c r="AQ37" s="58"/>
      <x:c r="AR37" s="58"/>
      <x:c r="AS37" s="58"/>
      <x:c r="AT37" s="58"/>
      <x:c r="AU37" s="58"/>
      <x:c r="AV37" s="58"/>
      <x:c r="AW37" s="58"/>
      <x:c r="AX37" s="58"/>
      <x:c r="AY37" s="58"/>
      <x:c r="AZ37" s="58"/>
      <x:c r="BA37" s="58"/>
      <x:c r="BB37" s="58"/>
      <x:c r="BC37" s="58"/>
      <x:c r="BD37" s="58"/>
      <x:c r="BE37" s="58"/>
      <x:c r="BF37" s="58"/>
      <x:c r="BG37" s="58"/>
      <x:c r="BH37" s="58"/>
      <x:c r="BI37" s="58"/>
      <x:c r="BJ37" s="58"/>
      <x:c r="BK37" s="58"/>
      <x:c r="BL37" s="58"/>
      <x:c r="BM37" s="58"/>
      <x:c r="BN37" s="58"/>
      <x:c r="BO37" s="58"/>
      <x:c r="BP37" s="58"/>
    </x:row>
    <x:row r="38">
      <x:c r="A38" s="26" t="str">
        <x:v>Капитальные и разовые затраты</x:v>
      </x:c>
      <x:c r="B38" s="26" t="str">
        <x:v>Оборудование и внедрение; не входят в EBITDA</x:v>
      </x:c>
      <x:c r="C38" s="63" t="n">
        <x:f>SUM(I38:T38)</x:f>
        <x:v>-697499.9999999999</x:v>
      </x:c>
      <x:c r="D38" s="67" t="n">
        <x:f>SUM(U38:AF38)</x:f>
        <x:v>-945000</x:v>
      </x:c>
      <x:c r="E38" s="71" t="n">
        <x:f>SUM(AG38:AR38)</x:f>
        <x:v>-992250</x:v>
      </x:c>
      <x:c r="F38" s="75" t="n">
        <x:f>SUM(AS38:BD38)</x:f>
        <x:v>-1041862.5000000001</x:v>
      </x:c>
      <x:c r="G38" s="79" t="n">
        <x:f>SUM(BE38:BP38)</x:f>
        <x:v>-1093955.6250000002</x:v>
      </x:c>
      <x:c r="H38" s="58"/>
      <x:c r="I38" s="58" t="n">
        <x:f>-Assumptions!$C$33*POWER(1+Assumptions!$C$40,0)*0.550000</x:f>
        <x:v>-41250</x:v>
      </x:c>
      <x:c r="J38" s="58" t="n">
        <x:f>-Assumptions!$C$33*POWER(1+Assumptions!$C$40,0)*0.590909</x:f>
        <x:v>-44318.175</x:v>
      </x:c>
      <x:c r="K38" s="58" t="n">
        <x:f>-Assumptions!$C$33*POWER(1+Assumptions!$C$40,0)*0.631818</x:f>
        <x:v>-47386.35</x:v>
      </x:c>
      <x:c r="L38" s="58" t="n">
        <x:f>-Assumptions!$C$33*POWER(1+Assumptions!$C$40,0)*0.672727</x:f>
        <x:v>-50454.524999999994</x:v>
      </x:c>
      <x:c r="M38" s="58" t="n">
        <x:f>-Assumptions!$C$33*POWER(1+Assumptions!$C$40,0)*0.713636</x:f>
        <x:v>-53522.700000000004</x:v>
      </x:c>
      <x:c r="N38" s="58" t="n">
        <x:f>-Assumptions!$C$33*POWER(1+Assumptions!$C$40,0)*0.754545</x:f>
        <x:v>-56590.875</x:v>
      </x:c>
      <x:c r="O38" s="58" t="n">
        <x:f>-Assumptions!$C$33*POWER(1+Assumptions!$C$40,0)*0.795455</x:f>
        <x:v>-59659.125</x:v>
      </x:c>
      <x:c r="P38" s="58" t="n">
        <x:f>-Assumptions!$C$33*POWER(1+Assumptions!$C$40,0)*0.836364</x:f>
        <x:v>-62727.3</x:v>
      </x:c>
      <x:c r="Q38" s="58" t="n">
        <x:f>-Assumptions!$C$33*POWER(1+Assumptions!$C$40,0)*0.877273</x:f>
        <x:v>-65795.47499999999</x:v>
      </x:c>
      <x:c r="R38" s="58" t="n">
        <x:f>-Assumptions!$C$33*POWER(1+Assumptions!$C$40,0)*0.918182</x:f>
        <x:v>-68863.65000000001</x:v>
      </x:c>
      <x:c r="S38" s="58" t="n">
        <x:f>-Assumptions!$C$33*POWER(1+Assumptions!$C$40,0)*0.959091</x:f>
        <x:v>-71931.825</x:v>
      </x:c>
      <x:c r="T38" s="58" t="n">
        <x:f>-Assumptions!$C$33*POWER(1+Assumptions!$C$40,0)*1.000000</x:f>
        <x:v>-75000</x:v>
      </x:c>
      <x:c r="U38" s="58" t="n">
        <x:f>-Assumptions!$C$33*POWER(1+Assumptions!$C$40,1)*1.000000</x:f>
        <x:v>-78750</x:v>
      </x:c>
      <x:c r="V38" s="58" t="n">
        <x:f>-Assumptions!$C$33*POWER(1+Assumptions!$C$40,1)*1.000000</x:f>
        <x:v>-78750</x:v>
      </x:c>
      <x:c r="W38" s="58" t="n">
        <x:f>-Assumptions!$C$33*POWER(1+Assumptions!$C$40,1)*1.000000</x:f>
        <x:v>-78750</x:v>
      </x:c>
      <x:c r="X38" s="58" t="n">
        <x:f>-Assumptions!$C$33*POWER(1+Assumptions!$C$40,1)*1.000000</x:f>
        <x:v>-78750</x:v>
      </x:c>
      <x:c r="Y38" s="58" t="n">
        <x:f>-Assumptions!$C$33*POWER(1+Assumptions!$C$40,1)*1.000000</x:f>
        <x:v>-78750</x:v>
      </x:c>
      <x:c r="Z38" s="58" t="n">
        <x:f>-Assumptions!$C$33*POWER(1+Assumptions!$C$40,1)*1.000000</x:f>
        <x:v>-78750</x:v>
      </x:c>
      <x:c r="AA38" s="58" t="n">
        <x:f>-Assumptions!$C$33*POWER(1+Assumptions!$C$40,1)*1.000000</x:f>
        <x:v>-78750</x:v>
      </x:c>
      <x:c r="AB38" s="58" t="n">
        <x:f>-Assumptions!$C$33*POWER(1+Assumptions!$C$40,1)*1.000000</x:f>
        <x:v>-78750</x:v>
      </x:c>
      <x:c r="AC38" s="58" t="n">
        <x:f>-Assumptions!$C$33*POWER(1+Assumptions!$C$40,1)*1.000000</x:f>
        <x:v>-78750</x:v>
      </x:c>
      <x:c r="AD38" s="58" t="n">
        <x:f>-Assumptions!$C$33*POWER(1+Assumptions!$C$40,1)*1.000000</x:f>
        <x:v>-78750</x:v>
      </x:c>
      <x:c r="AE38" s="58" t="n">
        <x:f>-Assumptions!$C$33*POWER(1+Assumptions!$C$40,1)*1.000000</x:f>
        <x:v>-78750</x:v>
      </x:c>
      <x:c r="AF38" s="58" t="n">
        <x:f>-Assumptions!$C$33*POWER(1+Assumptions!$C$40,1)*1.000000</x:f>
        <x:v>-78750</x:v>
      </x:c>
      <x:c r="AG38" s="58" t="n">
        <x:f>-Assumptions!$C$33*POWER(1+Assumptions!$C$40,2)*1.000000</x:f>
        <x:v>-82687.5</x:v>
      </x:c>
      <x:c r="AH38" s="58" t="n">
        <x:f>-Assumptions!$C$33*POWER(1+Assumptions!$C$40,2)*1.000000</x:f>
        <x:v>-82687.5</x:v>
      </x:c>
      <x:c r="AI38" s="58" t="n">
        <x:f>-Assumptions!$C$33*POWER(1+Assumptions!$C$40,2)*1.000000</x:f>
        <x:v>-82687.5</x:v>
      </x:c>
      <x:c r="AJ38" s="58" t="n">
        <x:f>-Assumptions!$C$33*POWER(1+Assumptions!$C$40,2)*1.000000</x:f>
        <x:v>-82687.5</x:v>
      </x:c>
      <x:c r="AK38" s="58" t="n">
        <x:f>-Assumptions!$C$33*POWER(1+Assumptions!$C$40,2)*1.000000</x:f>
        <x:v>-82687.5</x:v>
      </x:c>
      <x:c r="AL38" s="58" t="n">
        <x:f>-Assumptions!$C$33*POWER(1+Assumptions!$C$40,2)*1.000000</x:f>
        <x:v>-82687.5</x:v>
      </x:c>
      <x:c r="AM38" s="58" t="n">
        <x:f>-Assumptions!$C$33*POWER(1+Assumptions!$C$40,2)*1.000000</x:f>
        <x:v>-82687.5</x:v>
      </x:c>
      <x:c r="AN38" s="58" t="n">
        <x:f>-Assumptions!$C$33*POWER(1+Assumptions!$C$40,2)*1.000000</x:f>
        <x:v>-82687.5</x:v>
      </x:c>
      <x:c r="AO38" s="58" t="n">
        <x:f>-Assumptions!$C$33*POWER(1+Assumptions!$C$40,2)*1.000000</x:f>
        <x:v>-82687.5</x:v>
      </x:c>
      <x:c r="AP38" s="58" t="n">
        <x:f>-Assumptions!$C$33*POWER(1+Assumptions!$C$40,2)*1.000000</x:f>
        <x:v>-82687.5</x:v>
      </x:c>
      <x:c r="AQ38" s="58" t="n">
        <x:f>-Assumptions!$C$33*POWER(1+Assumptions!$C$40,2)*1.000000</x:f>
        <x:v>-82687.5</x:v>
      </x:c>
      <x:c r="AR38" s="58" t="n">
        <x:f>-Assumptions!$C$33*POWER(1+Assumptions!$C$40,2)*1.000000</x:f>
        <x:v>-82687.5</x:v>
      </x:c>
      <x:c r="AS38" s="58" t="n">
        <x:f>-Assumptions!$C$33*POWER(1+Assumptions!$C$40,3)*1.000000</x:f>
        <x:v>-86821.87500000001</x:v>
      </x:c>
      <x:c r="AT38" s="58" t="n">
        <x:f>-Assumptions!$C$33*POWER(1+Assumptions!$C$40,3)*1.000000</x:f>
        <x:v>-86821.87500000001</x:v>
      </x:c>
      <x:c r="AU38" s="58" t="n">
        <x:f>-Assumptions!$C$33*POWER(1+Assumptions!$C$40,3)*1.000000</x:f>
        <x:v>-86821.87500000001</x:v>
      </x:c>
      <x:c r="AV38" s="58" t="n">
        <x:f>-Assumptions!$C$33*POWER(1+Assumptions!$C$40,3)*1.000000</x:f>
        <x:v>-86821.87500000001</x:v>
      </x:c>
      <x:c r="AW38" s="58" t="n">
        <x:f>-Assumptions!$C$33*POWER(1+Assumptions!$C$40,3)*1.000000</x:f>
        <x:v>-86821.87500000001</x:v>
      </x:c>
      <x:c r="AX38" s="58" t="n">
        <x:f>-Assumptions!$C$33*POWER(1+Assumptions!$C$40,3)*1.000000</x:f>
        <x:v>-86821.87500000001</x:v>
      </x:c>
      <x:c r="AY38" s="58" t="n">
        <x:f>-Assumptions!$C$33*POWER(1+Assumptions!$C$40,3)*1.000000</x:f>
        <x:v>-86821.87500000001</x:v>
      </x:c>
      <x:c r="AZ38" s="58" t="n">
        <x:f>-Assumptions!$C$33*POWER(1+Assumptions!$C$40,3)*1.000000</x:f>
        <x:v>-86821.87500000001</x:v>
      </x:c>
      <x:c r="BA38" s="58" t="n">
        <x:f>-Assumptions!$C$33*POWER(1+Assumptions!$C$40,3)*1.000000</x:f>
        <x:v>-86821.87500000001</x:v>
      </x:c>
      <x:c r="BB38" s="58" t="n">
        <x:f>-Assumptions!$C$33*POWER(1+Assumptions!$C$40,3)*1.000000</x:f>
        <x:v>-86821.87500000001</x:v>
      </x:c>
      <x:c r="BC38" s="58" t="n">
        <x:f>-Assumptions!$C$33*POWER(1+Assumptions!$C$40,3)*1.000000</x:f>
        <x:v>-86821.87500000001</x:v>
      </x:c>
      <x:c r="BD38" s="58" t="n">
        <x:f>-Assumptions!$C$33*POWER(1+Assumptions!$C$40,3)*1.000000</x:f>
        <x:v>-86821.87500000001</x:v>
      </x:c>
      <x:c r="BE38" s="58" t="n">
        <x:f>-Assumptions!$C$33*POWER(1+Assumptions!$C$40,4)*1.000000</x:f>
        <x:v>-91162.96875000001</x:v>
      </x:c>
      <x:c r="BF38" s="58" t="n">
        <x:f>-Assumptions!$C$33*POWER(1+Assumptions!$C$40,4)*1.000000</x:f>
        <x:v>-91162.96875000001</x:v>
      </x:c>
      <x:c r="BG38" s="58" t="n">
        <x:f>-Assumptions!$C$33*POWER(1+Assumptions!$C$40,4)*1.000000</x:f>
        <x:v>-91162.96875000001</x:v>
      </x:c>
      <x:c r="BH38" s="58" t="n">
        <x:f>-Assumptions!$C$33*POWER(1+Assumptions!$C$40,4)*1.000000</x:f>
        <x:v>-91162.96875000001</x:v>
      </x:c>
      <x:c r="BI38" s="58" t="n">
        <x:f>-Assumptions!$C$33*POWER(1+Assumptions!$C$40,4)*1.000000</x:f>
        <x:v>-91162.96875000001</x:v>
      </x:c>
      <x:c r="BJ38" s="58" t="n">
        <x:f>-Assumptions!$C$33*POWER(1+Assumptions!$C$40,4)*1.000000</x:f>
        <x:v>-91162.96875000001</x:v>
      </x:c>
      <x:c r="BK38" s="58" t="n">
        <x:f>-Assumptions!$C$33*POWER(1+Assumptions!$C$40,4)*1.000000</x:f>
        <x:v>-91162.96875000001</x:v>
      </x:c>
      <x:c r="BL38" s="58" t="n">
        <x:f>-Assumptions!$C$33*POWER(1+Assumptions!$C$40,4)*1.000000</x:f>
        <x:v>-91162.96875000001</x:v>
      </x:c>
      <x:c r="BM38" s="58" t="n">
        <x:f>-Assumptions!$C$33*POWER(1+Assumptions!$C$40,4)*1.000000</x:f>
        <x:v>-91162.96875000001</x:v>
      </x:c>
      <x:c r="BN38" s="58" t="n">
        <x:f>-Assumptions!$C$33*POWER(1+Assumptions!$C$40,4)*1.000000</x:f>
        <x:v>-91162.96875000001</x:v>
      </x:c>
      <x:c r="BO38" s="58" t="n">
        <x:f>-Assumptions!$C$33*POWER(1+Assumptions!$C$40,4)*1.000000</x:f>
        <x:v>-91162.96875000001</x:v>
      </x:c>
      <x:c r="BP38" s="58" t="n">
        <x:f>-Assumptions!$C$33*POWER(1+Assumptions!$C$40,4)*1.000000</x:f>
        <x:v>-91162.96875000001</x:v>
      </x:c>
    </x:row>
    <x:row r="39">
      <x:c r="A39" s="114" t="str">
        <x:v>Свободный денежный поток до финансирования</x:v>
      </x:c>
      <x:c r="B39" s="114" t="str">
        <x:v>EBITDA минус капитальные и разовые затраты</x:v>
      </x:c>
      <x:c r="C39" s="119" t="n">
        <x:f>SUM(I39:T39)</x:f>
        <x:v>30953500</x:v>
      </x:c>
      <x:c r="D39" s="122" t="n">
        <x:f>SUM(U39:AF39)</x:f>
        <x:v>47439499.99997906</x:v>
      </x:c>
      <x:c r="E39" s="124" t="n">
        <x:f>SUM(AG39:AR39)</x:f>
        <x:v>77981249.9999468</x:v>
      </x:c>
      <x:c r="F39" s="127" t="n">
        <x:f>SUM(AS39:BD39)</x:f>
        <x:v>133253212.49995849</x:v>
      </x:c>
      <x:c r="G39" s="130" t="n">
        <x:f>SUM(BE39:BP39)</x:f>
        <x:v>233562273.12500516</x:v>
      </x:c>
      <x:c r="H39" s="116"/>
      <x:c r="I39" s="116" t="n">
        <x:f>I35+I38</x:f>
        <x:v>2474500</x:v>
      </x:c>
      <x:c r="J39" s="116" t="n">
        <x:f>J35+J38</x:f>
        <x:v>2468158.2750000004</x:v>
      </x:c>
      <x:c r="K39" s="116" t="n">
        <x:f>K35+K38</x:f>
        <x:v>2470816.55</x:v>
      </x:c>
      <x:c r="L39" s="116" t="n">
        <x:f>L35+L38</x:f>
        <x:v>2509064.825</x:v>
      </x:c>
      <x:c r="M39" s="116" t="n">
        <x:f>M35+M38</x:f>
        <x:v>2511723.0999999996</x:v>
      </x:c>
      <x:c r="N39" s="116" t="n">
        <x:f>N35+N38</x:f>
        <x:v>2505381.375</x:v>
      </x:c>
      <x:c r="O39" s="116" t="n">
        <x:f>O35+O38</x:f>
        <x:v>2543628.625</x:v>
      </x:c>
      <x:c r="P39" s="116" t="n">
        <x:f>P35+P38</x:f>
        <x:v>2537286.9000000004</x:v>
      </x:c>
      <x:c r="Q39" s="116" t="n">
        <x:f>Q35+Q38</x:f>
        <x:v>2584535.1750000003</x:v>
      </x:c>
      <x:c r="R39" s="116" t="n">
        <x:f>R35+R38</x:f>
        <x:v>2622783.4499999997</x:v>
      </x:c>
      <x:c r="S39" s="116" t="n">
        <x:f>S35+S38</x:f>
        <x:v>2821391.7249999996</x:v>
      </x:c>
      <x:c r="T39" s="116" t="n">
        <x:f>T35+T38</x:f>
        <x:v>2904230</x:v>
      </x:c>
      <x:c r="U39" s="116" t="n">
        <x:f>U35+U38</x:f>
        <x:v>3450562.499998428</x:v>
      </x:c>
      <x:c r="V39" s="116" t="n">
        <x:f>V35+V38</x:f>
        <x:v>3507919.9999984074</x:v>
      </x:c>
      <x:c r="W39" s="116" t="n">
        <x:f>W35+W38</x:f>
        <x:v>3574277.499998387</x:v>
      </x:c>
      <x:c r="X39" s="116" t="n">
        <x:f>X35+X38</x:f>
        <x:v>3688992.499998346</x:v>
      </x:c>
      <x:c r="Y39" s="116" t="n">
        <x:f>Y35+Y38</x:f>
        <x:v>3755349.9999983236</x:v>
      </x:c>
      <x:c r="Z39" s="116" t="n">
        <x:f>Z35+Z38</x:f>
        <x:v>3812707.499998303</x:v>
      </x:c>
      <x:c r="AA39" s="116" t="n">
        <x:f>AA35+AA38</x:f>
        <x:v>3936422.499998262</x:v>
      </x:c>
      <x:c r="AB39" s="116" t="n">
        <x:f>AB35+AB38</x:f>
        <x:v>3993779.99999824</x:v>
      </x:c>
      <x:c r="AC39" s="116" t="n">
        <x:f>AC35+AC38</x:f>
        <x:v>4117494.999998197</x:v>
      </x:c>
      <x:c r="AD39" s="116" t="n">
        <x:f>AD35+AD38</x:f>
        <x:v>4232209.999998156</x:v>
      </x:c>
      <x:c r="AE39" s="116" t="n">
        <x:f>AE35+AE38</x:f>
        <x:v>4594354.99999803</x:v>
      </x:c>
      <x:c r="AF39" s="116" t="n">
        <x:f>AF35+AF38</x:f>
        <x:v>4775427.499997968</x:v>
      </x:c>
      <x:c r="AG39" s="116" t="n">
        <x:f>AG35+AG38</x:f>
        <x:v>5732437.499996009</x:v>
      </x:c>
      <x:c r="AH39" s="116" t="n">
        <x:f>AH35+AH38</x:f>
        <x:v>5823817.499995956</x:v>
      </x:c>
      <x:c r="AI39" s="116" t="n">
        <x:f>AI35+AI38</x:f>
        <x:v>5915197.499995902</x:v>
      </x:c>
      <x:c r="AJ39" s="116" t="n">
        <x:f>AJ35+AJ38</x:f>
        <x:v>6097957.499995797</x:v>
      </x:c>
      <x:c r="AK39" s="116" t="n">
        <x:f>AK35+AK38</x:f>
        <x:v>6198337.499995744</x:v>
      </x:c>
      <x:c r="AL39" s="116" t="n">
        <x:f>AL35+AL38</x:f>
        <x:v>6289717.49999569</x:v>
      </x:c>
      <x:c r="AM39" s="116" t="n">
        <x:f>AM35+AM38</x:f>
        <x:v>6463477.4999955855</x:v>
      </x:c>
      <x:c r="AN39" s="116" t="n">
        <x:f>AN35+AN38</x:f>
        <x:v>6554857.4999955315</x:v>
      </x:c>
      <x:c r="AO39" s="116" t="n">
        <x:f>AO35+AO38</x:f>
        <x:v>6746617.4999954235</x:v>
      </x:c>
      <x:c r="AP39" s="116" t="n">
        <x:f>AP35+AP38</x:f>
        <x:v>6929377.499995317</x:v>
      </x:c>
      <x:c r="AQ39" s="116" t="n">
        <x:f>AQ35+AQ38</x:f>
        <x:v>7477657.499994999</x:v>
      </x:c>
      <x:c r="AR39" s="116" t="n">
        <x:f>AR35+AR38</x:f>
        <x:v>7751797.4999948405</x:v>
      </x:c>
      <x:c r="AS39" s="116" t="n">
        <x:f>AS35+AS38</x:f>
        <x:v>9881184.374996886</x:v>
      </x:c>
      <x:c r="AT39" s="116" t="n">
        <x:f>AT35+AT38</x:f>
        <x:v>10024554.374996845</x:v>
      </x:c>
      <x:c r="AU39" s="116" t="n">
        <x:f>AU35+AU38</x:f>
        <x:v>10167924.374996804</x:v>
      </x:c>
      <x:c r="AV39" s="116" t="n">
        <x:f>AV35+AV38</x:f>
        <x:v>10463664.374996722</x:v>
      </x:c>
      <x:c r="AW39" s="116" t="n">
        <x:f>AW35+AW38</x:f>
        <x:v>10616034.37499668</x:v>
      </x:c>
      <x:c r="AX39" s="116" t="n">
        <x:f>AX35+AX38</x:f>
        <x:v>10759404.37499664</x:v>
      </x:c>
      <x:c r="AY39" s="116" t="n">
        <x:f>AY35+AY38</x:f>
        <x:v>11055144.374996554</x:v>
      </x:c>
      <x:c r="AZ39" s="116" t="n">
        <x:f>AZ35+AZ38</x:f>
        <x:v>11198514.374996513</x:v>
      </x:c>
      <x:c r="BA39" s="116" t="n">
        <x:f>BA35+BA38</x:f>
        <x:v>11494254.374996427</x:v>
      </x:c>
      <x:c r="BB39" s="116" t="n">
        <x:f>BB35+BB38</x:f>
        <x:v>11789994.374996347</x:v>
      </x:c>
      <x:c r="BC39" s="116" t="n">
        <x:f>BC35+BC38</x:f>
        <x:v>12677214.374996098</x:v>
      </x:c>
      <x:c r="BD39" s="116" t="n">
        <x:f>BD35+BD38</x:f>
        <x:v>13125324.374995975</x:v>
      </x:c>
      <x:c r="BE39" s="116" t="n">
        <x:f>BE35+BE38</x:f>
        <x:v>17393031.093750387</x:v>
      </x:c>
      <x:c r="BF39" s="116" t="n">
        <x:f>BF35+BF38</x:f>
        <x:v>17637350.09375039</x:v>
      </x:c>
      <x:c r="BG39" s="116" t="n">
        <x:f>BG35+BG38</x:f>
        <x:v>17890669.093750395</x:v>
      </x:c>
      <x:c r="BH39" s="116" t="n">
        <x:f>BH35+BH38</x:f>
        <x:v>18388307.093750406</x:v>
      </x:c>
      <x:c r="BI39" s="116" t="n">
        <x:f>BI35+BI38</x:f>
        <x:v>18632626.09375041</x:v>
      </x:c>
      <x:c r="BJ39" s="116" t="n">
        <x:f>BJ35+BJ38</x:f>
        <x:v>18885945.093750417</x:v>
      </x:c>
      <x:c r="BK39" s="116" t="n">
        <x:f>BK35+BK38</x:f>
        <x:v>19383583.093750425</x:v>
      </x:c>
      <x:c r="BL39" s="116" t="n">
        <x:f>BL35+BL38</x:f>
        <x:v>19627902.093750432</x:v>
      </x:c>
      <x:c r="BM39" s="116" t="n">
        <x:f>BM35+BM38</x:f>
        <x:v>20125540.09375044</x:v>
      </x:c>
      <x:c r="BN39" s="116" t="n">
        <x:f>BN35+BN38</x:f>
        <x:v>20623178.093750447</x:v>
      </x:c>
      <x:c r="BO39" s="116" t="n">
        <x:f>BO35+BO38</x:f>
        <x:v>22116092.093750477</x:v>
      </x:c>
      <x:c r="BP39" s="116" t="n">
        <x:f>BP35+BP38</x:f>
        <x:v>22858049.0937505</x:v>
      </x:c>
    </x:row>
    <x:row r="40">
      <x:c r="A40" s="26" t="str">
        <x:v>Поступление инвестиций</x:v>
      </x:c>
      <x:c r="B40" s="26" t="str">
        <x:v>25 млн ₽ поступают в первом месяце</x:v>
      </x:c>
      <x:c r="C40" s="63" t="n">
        <x:f>SUM(I40:T40)</x:f>
        <x:v>25000000</x:v>
      </x:c>
      <x:c r="D40" s="67" t="n">
        <x:f>SUM(U40:AF40)</x:f>
        <x:v>0</x:v>
      </x:c>
      <x:c r="E40" s="71" t="n">
        <x:f>SUM(AG40:AR40)</x:f>
        <x:v>0</x:v>
      </x:c>
      <x:c r="F40" s="75" t="n">
        <x:f>SUM(AS40:BD40)</x:f>
        <x:v>0</x:v>
      </x:c>
      <x:c r="G40" s="79" t="n">
        <x:f>SUM(BE40:BP40)</x:f>
        <x:v>0</x:v>
      </x:c>
      <x:c r="H40" s="58"/>
      <x:c r="I40" s="58" t="n">
        <x:f>Assumptions!$C$34</x:f>
        <x:v>25000000</x:v>
      </x:c>
      <x:c r="J40" s="58" t="n">
        <x:f>0</x:f>
        <x:v>0</x:v>
      </x:c>
      <x:c r="K40" s="58" t="n">
        <x:f>0</x:f>
        <x:v>0</x:v>
      </x:c>
      <x:c r="L40" s="58" t="n">
        <x:f>0</x:f>
        <x:v>0</x:v>
      </x:c>
      <x:c r="M40" s="58" t="n">
        <x:f>0</x:f>
        <x:v>0</x:v>
      </x:c>
      <x:c r="N40" s="58" t="n">
        <x:f>0</x:f>
        <x:v>0</x:v>
      </x:c>
      <x:c r="O40" s="58" t="n">
        <x:f>0</x:f>
        <x:v>0</x:v>
      </x:c>
      <x:c r="P40" s="58" t="n">
        <x:f>0</x:f>
        <x:v>0</x:v>
      </x:c>
      <x:c r="Q40" s="58" t="n">
        <x:f>0</x:f>
        <x:v>0</x:v>
      </x:c>
      <x:c r="R40" s="58" t="n">
        <x:f>0</x:f>
        <x:v>0</x:v>
      </x:c>
      <x:c r="S40" s="58" t="n">
        <x:f>0</x:f>
        <x:v>0</x:v>
      </x:c>
      <x:c r="T40" s="58" t="n">
        <x:f>0</x:f>
        <x:v>0</x:v>
      </x:c>
      <x:c r="U40" s="58" t="n">
        <x:f>0</x:f>
        <x:v>0</x:v>
      </x:c>
      <x:c r="V40" s="58" t="n">
        <x:f>0</x:f>
        <x:v>0</x:v>
      </x:c>
      <x:c r="W40" s="58" t="n">
        <x:f>0</x:f>
        <x:v>0</x:v>
      </x:c>
      <x:c r="X40" s="58" t="n">
        <x:f>0</x:f>
        <x:v>0</x:v>
      </x:c>
      <x:c r="Y40" s="58" t="n">
        <x:f>0</x:f>
        <x:v>0</x:v>
      </x:c>
      <x:c r="Z40" s="58" t="n">
        <x:f>0</x:f>
        <x:v>0</x:v>
      </x:c>
      <x:c r="AA40" s="58" t="n">
        <x:f>0</x:f>
        <x:v>0</x:v>
      </x:c>
      <x:c r="AB40" s="58" t="n">
        <x:f>0</x:f>
        <x:v>0</x:v>
      </x:c>
      <x:c r="AC40" s="58" t="n">
        <x:f>0</x:f>
        <x:v>0</x:v>
      </x:c>
      <x:c r="AD40" s="58" t="n">
        <x:f>0</x:f>
        <x:v>0</x:v>
      </x:c>
      <x:c r="AE40" s="58" t="n">
        <x:f>0</x:f>
        <x:v>0</x:v>
      </x:c>
      <x:c r="AF40" s="58" t="n">
        <x:f>0</x:f>
        <x:v>0</x:v>
      </x:c>
      <x:c r="AG40" s="58" t="n">
        <x:f>0</x:f>
        <x:v>0</x:v>
      </x:c>
      <x:c r="AH40" s="58" t="n">
        <x:f>0</x:f>
        <x:v>0</x:v>
      </x:c>
      <x:c r="AI40" s="58" t="n">
        <x:f>0</x:f>
        <x:v>0</x:v>
      </x:c>
      <x:c r="AJ40" s="58" t="n">
        <x:f>0</x:f>
        <x:v>0</x:v>
      </x:c>
      <x:c r="AK40" s="58" t="n">
        <x:f>0</x:f>
        <x:v>0</x:v>
      </x:c>
      <x:c r="AL40" s="58" t="n">
        <x:f>0</x:f>
        <x:v>0</x:v>
      </x:c>
      <x:c r="AM40" s="58" t="n">
        <x:f>0</x:f>
        <x:v>0</x:v>
      </x:c>
      <x:c r="AN40" s="58" t="n">
        <x:f>0</x:f>
        <x:v>0</x:v>
      </x:c>
      <x:c r="AO40" s="58" t="n">
        <x:f>0</x:f>
        <x:v>0</x:v>
      </x:c>
      <x:c r="AP40" s="58" t="n">
        <x:f>0</x:f>
        <x:v>0</x:v>
      </x:c>
      <x:c r="AQ40" s="58" t="n">
        <x:f>0</x:f>
        <x:v>0</x:v>
      </x:c>
      <x:c r="AR40" s="58" t="n">
        <x:f>0</x:f>
        <x:v>0</x:v>
      </x:c>
      <x:c r="AS40" s="58" t="n">
        <x:f>0</x:f>
        <x:v>0</x:v>
      </x:c>
      <x:c r="AT40" s="58" t="n">
        <x:f>0</x:f>
        <x:v>0</x:v>
      </x:c>
      <x:c r="AU40" s="58" t="n">
        <x:f>0</x:f>
        <x:v>0</x:v>
      </x:c>
      <x:c r="AV40" s="58" t="n">
        <x:f>0</x:f>
        <x:v>0</x:v>
      </x:c>
      <x:c r="AW40" s="58" t="n">
        <x:f>0</x:f>
        <x:v>0</x:v>
      </x:c>
      <x:c r="AX40" s="58" t="n">
        <x:f>0</x:f>
        <x:v>0</x:v>
      </x:c>
      <x:c r="AY40" s="58" t="n">
        <x:f>0</x:f>
        <x:v>0</x:v>
      </x:c>
      <x:c r="AZ40" s="58" t="n">
        <x:f>0</x:f>
        <x:v>0</x:v>
      </x:c>
      <x:c r="BA40" s="58" t="n">
        <x:f>0</x:f>
        <x:v>0</x:v>
      </x:c>
      <x:c r="BB40" s="58" t="n">
        <x:f>0</x:f>
        <x:v>0</x:v>
      </x:c>
      <x:c r="BC40" s="58" t="n">
        <x:f>0</x:f>
        <x:v>0</x:v>
      </x:c>
      <x:c r="BD40" s="58" t="n">
        <x:f>0</x:f>
        <x:v>0</x:v>
      </x:c>
      <x:c r="BE40" s="58" t="n">
        <x:f>0</x:f>
        <x:v>0</x:v>
      </x:c>
      <x:c r="BF40" s="58" t="n">
        <x:f>0</x:f>
        <x:v>0</x:v>
      </x:c>
      <x:c r="BG40" s="58" t="n">
        <x:f>0</x:f>
        <x:v>0</x:v>
      </x:c>
      <x:c r="BH40" s="58" t="n">
        <x:f>0</x:f>
        <x:v>0</x:v>
      </x:c>
      <x:c r="BI40" s="58" t="n">
        <x:f>0</x:f>
        <x:v>0</x:v>
      </x:c>
      <x:c r="BJ40" s="58" t="n">
        <x:f>0</x:f>
        <x:v>0</x:v>
      </x:c>
      <x:c r="BK40" s="58" t="n">
        <x:f>0</x:f>
        <x:v>0</x:v>
      </x:c>
      <x:c r="BL40" s="58" t="n">
        <x:f>0</x:f>
        <x:v>0</x:v>
      </x:c>
      <x:c r="BM40" s="58" t="n">
        <x:f>0</x:f>
        <x:v>0</x:v>
      </x:c>
      <x:c r="BN40" s="58" t="n">
        <x:f>0</x:f>
        <x:v>0</x:v>
      </x:c>
      <x:c r="BO40" s="58" t="n">
        <x:f>0</x:f>
        <x:v>0</x:v>
      </x:c>
      <x:c r="BP40" s="58" t="n">
        <x:f>0</x:f>
        <x:v>0</x:v>
      </x:c>
    </x:row>
    <x:row r="41">
      <x:c r="A41" s="26" t="str">
        <x:v>Дивиденды</x:v>
      </x:c>
      <x:c r="B41" s="26" t="str">
        <x:v>В годах 1–2 не выплачиваются; с года 3 — только при резерве 12 месяцев</x:v>
      </x:c>
      <x:c r="C41" s="63" t="n">
        <x:f>SUM(I41:T41)</x:f>
        <x:v>0</x:v>
      </x:c>
      <x:c r="D41" s="67" t="n">
        <x:f>SUM(U41:AF41)</x:f>
        <x:v>0</x:v>
      </x:c>
      <x:c r="E41" s="71" t="n">
        <x:f>SUM(AG41:AR41)</x:f>
        <x:v>-27293437.499981374</x:v>
      </x:c>
      <x:c r="F41" s="75" t="n">
        <x:f>SUM(AS41:BD41)</x:f>
        <x:v>-46638624.37498547</x:v>
      </x:c>
      <x:c r="G41" s="79" t="n">
        <x:f>SUM(BE41:BP41)</x:f>
        <x:v>-81746795.5937518</x:v>
      </x:c>
      <x:c r="H41" s="58"/>
      <x:c r="I41" s="58" t="n">
        <x:f>0</x:f>
        <x:v>0</x:v>
      </x:c>
      <x:c r="J41" s="58" t="n">
        <x:f>0</x:f>
        <x:v>0</x:v>
      </x:c>
      <x:c r="K41" s="58" t="n">
        <x:f>0</x:f>
        <x:v>0</x:v>
      </x:c>
      <x:c r="L41" s="58" t="n">
        <x:f>0</x:f>
        <x:v>0</x:v>
      </x:c>
      <x:c r="M41" s="58" t="n">
        <x:f>0</x:f>
        <x:v>0</x:v>
      </x:c>
      <x:c r="N41" s="58" t="n">
        <x:f>0</x:f>
        <x:v>0</x:v>
      </x:c>
      <x:c r="O41" s="58" t="n">
        <x:f>0</x:f>
        <x:v>0</x:v>
      </x:c>
      <x:c r="P41" s="58" t="n">
        <x:f>0</x:f>
        <x:v>0</x:v>
      </x:c>
      <x:c r="Q41" s="58" t="n">
        <x:f>0</x:f>
        <x:v>0</x:v>
      </x:c>
      <x:c r="R41" s="58" t="n">
        <x:f>0</x:f>
        <x:v>0</x:v>
      </x:c>
      <x:c r="S41" s="58" t="n">
        <x:f>0</x:f>
        <x:v>0</x:v>
      </x:c>
      <x:c r="T41" s="58" t="n">
        <x:f>0</x:f>
        <x:v>0</x:v>
      </x:c>
      <x:c r="U41" s="58" t="n">
        <x:f>0</x:f>
        <x:v>0</x:v>
      </x:c>
      <x:c r="V41" s="58" t="n">
        <x:f>0</x:f>
        <x:v>0</x:v>
      </x:c>
      <x:c r="W41" s="58" t="n">
        <x:f>0</x:f>
        <x:v>0</x:v>
      </x:c>
      <x:c r="X41" s="58" t="n">
        <x:f>0</x:f>
        <x:v>0</x:v>
      </x:c>
      <x:c r="Y41" s="58" t="n">
        <x:f>0</x:f>
        <x:v>0</x:v>
      </x:c>
      <x:c r="Z41" s="58" t="n">
        <x:f>0</x:f>
        <x:v>0</x:v>
      </x:c>
      <x:c r="AA41" s="58" t="n">
        <x:f>0</x:f>
        <x:v>0</x:v>
      </x:c>
      <x:c r="AB41" s="58" t="n">
        <x:f>0</x:f>
        <x:v>0</x:v>
      </x:c>
      <x:c r="AC41" s="58" t="n">
        <x:f>0</x:f>
        <x:v>0</x:v>
      </x:c>
      <x:c r="AD41" s="58" t="n">
        <x:f>0</x:f>
        <x:v>0</x:v>
      </x:c>
      <x:c r="AE41" s="58" t="n">
        <x:f>0</x:f>
        <x:v>0</x:v>
      </x:c>
      <x:c r="AF41" s="58" t="n">
        <x:f>0</x:f>
        <x:v>0</x:v>
      </x:c>
      <x:c r="AG41" s="58" t="n">
        <x:f>IF(AF42&gt;=Assumptions!$C$46*(Assumptions!$C$29+Assumptions!$C$30+Assumptions!$C$31+Assumptions!$C$32)*POWER(1+Assumptions!$C$40,2)*1.000000,-MAX(0,AG39*Assumptions!$C$45),0)</x:f>
        <x:v>-2006353.124998603</x:v>
      </x:c>
      <x:c r="AH41" s="58" t="n">
        <x:f>IF(AG42&gt;=Assumptions!$C$46*(Assumptions!$C$29+Assumptions!$C$30+Assumptions!$C$31+Assumptions!$C$32)*POWER(1+Assumptions!$C$40,2)*1.000000,-MAX(0,AH39*Assumptions!$C$45),0)</x:f>
        <x:v>-2038336.1249985846</x:v>
      </x:c>
      <x:c r="AI41" s="58" t="n">
        <x:f>IF(AH42&gt;=Assumptions!$C$46*(Assumptions!$C$29+Assumptions!$C$30+Assumptions!$C$31+Assumptions!$C$32)*POWER(1+Assumptions!$C$40,2)*1.000000,-MAX(0,AI39*Assumptions!$C$45),0)</x:f>
        <x:v>-2070319.1249985655</x:v>
      </x:c>
      <x:c r="AJ41" s="58" t="n">
        <x:f>IF(AI42&gt;=Assumptions!$C$46*(Assumptions!$C$29+Assumptions!$C$30+Assumptions!$C$31+Assumptions!$C$32)*POWER(1+Assumptions!$C$40,2)*1.000000,-MAX(0,AJ39*Assumptions!$C$45),0)</x:f>
        <x:v>-2134285.124998529</x:v>
      </x:c>
      <x:c r="AK41" s="58" t="n">
        <x:f>IF(AJ42&gt;=Assumptions!$C$46*(Assumptions!$C$29+Assumptions!$C$30+Assumptions!$C$31+Assumptions!$C$32)*POWER(1+Assumptions!$C$40,2)*1.000000,-MAX(0,AK39*Assumptions!$C$45),0)</x:f>
        <x:v>-2169418.1249985103</x:v>
      </x:c>
      <x:c r="AL41" s="58" t="n">
        <x:f>IF(AK42&gt;=Assumptions!$C$46*(Assumptions!$C$29+Assumptions!$C$30+Assumptions!$C$31+Assumptions!$C$32)*POWER(1+Assumptions!$C$40,2)*1.000000,-MAX(0,AL39*Assumptions!$C$45),0)</x:f>
        <x:v>-2201401.1249984913</x:v>
      </x:c>
      <x:c r="AM41" s="58" t="n">
        <x:f>IF(AL42&gt;=Assumptions!$C$46*(Assumptions!$C$29+Assumptions!$C$30+Assumptions!$C$31+Assumptions!$C$32)*POWER(1+Assumptions!$C$40,2)*1.000000,-MAX(0,AM39*Assumptions!$C$45),0)</x:f>
        <x:v>-2262217.124998455</x:v>
      </x:c>
      <x:c r="AN41" s="58" t="n">
        <x:f>IF(AM42&gt;=Assumptions!$C$46*(Assumptions!$C$29+Assumptions!$C$30+Assumptions!$C$31+Assumptions!$C$32)*POWER(1+Assumptions!$C$40,2)*1.000000,-MAX(0,AN39*Assumptions!$C$45),0)</x:f>
        <x:v>-2294200.124998436</x:v>
      </x:c>
      <x:c r="AO41" s="58" t="n">
        <x:f>IF(AN42&gt;=Assumptions!$C$46*(Assumptions!$C$29+Assumptions!$C$30+Assumptions!$C$31+Assumptions!$C$32)*POWER(1+Assumptions!$C$40,2)*1.000000,-MAX(0,AO39*Assumptions!$C$45),0)</x:f>
        <x:v>-2361316.124998398</x:v>
      </x:c>
      <x:c r="AP41" s="58" t="n">
        <x:f>IF(AO42&gt;=Assumptions!$C$46*(Assumptions!$C$29+Assumptions!$C$30+Assumptions!$C$31+Assumptions!$C$32)*POWER(1+Assumptions!$C$40,2)*1.000000,-MAX(0,AP39*Assumptions!$C$45),0)</x:f>
        <x:v>-2425282.124998361</x:v>
      </x:c>
      <x:c r="AQ41" s="58" t="n">
        <x:f>IF(AP42&gt;=Assumptions!$C$46*(Assumptions!$C$29+Assumptions!$C$30+Assumptions!$C$31+Assumptions!$C$32)*POWER(1+Assumptions!$C$40,2)*1.000000,-MAX(0,AQ39*Assumptions!$C$45),0)</x:f>
        <x:v>-2617180.1249982496</x:v>
      </x:c>
      <x:c r="AR41" s="58" t="n">
        <x:f>IF(AQ42&gt;=Assumptions!$C$46*(Assumptions!$C$29+Assumptions!$C$30+Assumptions!$C$31+Assumptions!$C$32)*POWER(1+Assumptions!$C$40,2)*1.000000,-MAX(0,AR39*Assumptions!$C$45),0)</x:f>
        <x:v>-2713129.124998194</x:v>
      </x:c>
      <x:c r="AS41" s="58" t="n">
        <x:f>IF(AR42&gt;=Assumptions!$C$46*(Assumptions!$C$29+Assumptions!$C$30+Assumptions!$C$31+Assumptions!$C$32)*POWER(1+Assumptions!$C$40,3)*1.000000,-MAX(0,AS39*Assumptions!$C$45),0)</x:f>
        <x:v>-3458414.53124891</x:v>
      </x:c>
      <x:c r="AT41" s="58" t="n">
        <x:f>IF(AS42&gt;=Assumptions!$C$46*(Assumptions!$C$29+Assumptions!$C$30+Assumptions!$C$31+Assumptions!$C$32)*POWER(1+Assumptions!$C$40,3)*1.000000,-MAX(0,AT39*Assumptions!$C$45),0)</x:f>
        <x:v>-3508594.0312488955</x:v>
      </x:c>
      <x:c r="AU41" s="58" t="n">
        <x:f>IF(AT42&gt;=Assumptions!$C$46*(Assumptions!$C$29+Assumptions!$C$30+Assumptions!$C$31+Assumptions!$C$32)*POWER(1+Assumptions!$C$40,3)*1.000000,-MAX(0,AU39*Assumptions!$C$45),0)</x:f>
        <x:v>-3558773.531248881</x:v>
      </x:c>
      <x:c r="AV41" s="58" t="n">
        <x:f>IF(AU42&gt;=Assumptions!$C$46*(Assumptions!$C$29+Assumptions!$C$30+Assumptions!$C$31+Assumptions!$C$32)*POWER(1+Assumptions!$C$40,3)*1.000000,-MAX(0,AV39*Assumptions!$C$45),0)</x:f>
        <x:v>-3662282.5312488526</x:v>
      </x:c>
      <x:c r="AW41" s="58" t="n">
        <x:f>IF(AV42&gt;=Assumptions!$C$46*(Assumptions!$C$29+Assumptions!$C$30+Assumptions!$C$31+Assumptions!$C$32)*POWER(1+Assumptions!$C$40,3)*1.000000,-MAX(0,AW39*Assumptions!$C$45),0)</x:f>
        <x:v>-3715612.031248838</x:v>
      </x:c>
      <x:c r="AX41" s="58" t="n">
        <x:f>IF(AW42&gt;=Assumptions!$C$46*(Assumptions!$C$29+Assumptions!$C$30+Assumptions!$C$31+Assumptions!$C$32)*POWER(1+Assumptions!$C$40,3)*1.000000,-MAX(0,AX39*Assumptions!$C$45),0)</x:f>
        <x:v>-3765791.5312488237</x:v>
      </x:c>
      <x:c r="AY41" s="58" t="n">
        <x:f>IF(AX42&gt;=Assumptions!$C$46*(Assumptions!$C$29+Assumptions!$C$30+Assumptions!$C$31+Assumptions!$C$32)*POWER(1+Assumptions!$C$40,3)*1.000000,-MAX(0,AY39*Assumptions!$C$45),0)</x:f>
        <x:v>-3869300.5312487935</x:v>
      </x:c>
      <x:c r="AZ41" s="58" t="n">
        <x:f>IF(AY42&gt;=Assumptions!$C$46*(Assumptions!$C$29+Assumptions!$C$30+Assumptions!$C$31+Assumptions!$C$32)*POWER(1+Assumptions!$C$40,3)*1.000000,-MAX(0,AZ39*Assumptions!$C$45),0)</x:f>
        <x:v>-3919480.0312487795</x:v>
      </x:c>
      <x:c r="BA41" s="58" t="n">
        <x:f>IF(AZ42&gt;=Assumptions!$C$46*(Assumptions!$C$29+Assumptions!$C$30+Assumptions!$C$31+Assumptions!$C$32)*POWER(1+Assumptions!$C$40,3)*1.000000,-MAX(0,BA39*Assumptions!$C$45),0)</x:f>
        <x:v>-4022989.0312487492</x:v>
      </x:c>
      <x:c r="BB41" s="58" t="n">
        <x:f>IF(BA42&gt;=Assumptions!$C$46*(Assumptions!$C$29+Assumptions!$C$30+Assumptions!$C$31+Assumptions!$C$32)*POWER(1+Assumptions!$C$40,3)*1.000000,-MAX(0,BB39*Assumptions!$C$45),0)</x:f>
        <x:v>-4126498.0312487213</x:v>
      </x:c>
      <x:c r="BC41" s="58" t="n">
        <x:f>IF(BB42&gt;=Assumptions!$C$46*(Assumptions!$C$29+Assumptions!$C$30+Assumptions!$C$31+Assumptions!$C$32)*POWER(1+Assumptions!$C$40,3)*1.000000,-MAX(0,BC39*Assumptions!$C$45),0)</x:f>
        <x:v>-4437025.031248634</x:v>
      </x:c>
      <x:c r="BD41" s="58" t="n">
        <x:f>IF(BC42&gt;=Assumptions!$C$46*(Assumptions!$C$29+Assumptions!$C$30+Assumptions!$C$31+Assumptions!$C$32)*POWER(1+Assumptions!$C$40,3)*1.000000,-MAX(0,BD39*Assumptions!$C$45),0)</x:f>
        <x:v>-4593863.531248591</x:v>
      </x:c>
      <x:c r="BE41" s="58" t="n">
        <x:f>IF(BD42&gt;=Assumptions!$C$46*(Assumptions!$C$29+Assumptions!$C$30+Assumptions!$C$31+Assumptions!$C$32)*POWER(1+Assumptions!$C$40,4)*1.000000,-MAX(0,BE39*Assumptions!$C$45),0)</x:f>
        <x:v>-6087560.882812635</x:v>
      </x:c>
      <x:c r="BF41" s="58" t="n">
        <x:f>IF(BE42&gt;=Assumptions!$C$46*(Assumptions!$C$29+Assumptions!$C$30+Assumptions!$C$31+Assumptions!$C$32)*POWER(1+Assumptions!$C$40,4)*1.000000,-MAX(0,BF39*Assumptions!$C$45),0)</x:f>
        <x:v>-6173072.532812636</x:v>
      </x:c>
      <x:c r="BG41" s="58" t="n">
        <x:f>IF(BF42&gt;=Assumptions!$C$46*(Assumptions!$C$29+Assumptions!$C$30+Assumptions!$C$31+Assumptions!$C$32)*POWER(1+Assumptions!$C$40,4)*1.000000,-MAX(0,BG39*Assumptions!$C$45),0)</x:f>
        <x:v>-6261734.182812638</x:v>
      </x:c>
      <x:c r="BH41" s="58" t="n">
        <x:f>IF(BG42&gt;=Assumptions!$C$46*(Assumptions!$C$29+Assumptions!$C$30+Assumptions!$C$31+Assumptions!$C$32)*POWER(1+Assumptions!$C$40,4)*1.000000,-MAX(0,BH39*Assumptions!$C$45),0)</x:f>
        <x:v>-6435907.482812642</x:v>
      </x:c>
      <x:c r="BI41" s="58" t="n">
        <x:f>IF(BH42&gt;=Assumptions!$C$46*(Assumptions!$C$29+Assumptions!$C$30+Assumptions!$C$31+Assumptions!$C$32)*POWER(1+Assumptions!$C$40,4)*1.000000,-MAX(0,BI39*Assumptions!$C$45),0)</x:f>
        <x:v>-6521419.132812643</x:v>
      </x:c>
      <x:c r="BJ41" s="58" t="n">
        <x:f>IF(BI42&gt;=Assumptions!$C$46*(Assumptions!$C$29+Assumptions!$C$30+Assumptions!$C$31+Assumptions!$C$32)*POWER(1+Assumptions!$C$40,4)*1.000000,-MAX(0,BJ39*Assumptions!$C$45),0)</x:f>
        <x:v>-6610080.782812646</x:v>
      </x:c>
      <x:c r="BK41" s="58" t="n">
        <x:f>IF(BJ42&gt;=Assumptions!$C$46*(Assumptions!$C$29+Assumptions!$C$30+Assumptions!$C$31+Assumptions!$C$32)*POWER(1+Assumptions!$C$40,4)*1.000000,-MAX(0,BK39*Assumptions!$C$45),0)</x:f>
        <x:v>-6784254.082812648</x:v>
      </x:c>
      <x:c r="BL41" s="58" t="n">
        <x:f>IF(BK42&gt;=Assumptions!$C$46*(Assumptions!$C$29+Assumptions!$C$30+Assumptions!$C$31+Assumptions!$C$32)*POWER(1+Assumptions!$C$40,4)*1.000000,-MAX(0,BL39*Assumptions!$C$45),0)</x:f>
        <x:v>-6869765.7328126505</x:v>
      </x:c>
      <x:c r="BM41" s="58" t="n">
        <x:f>IF(BL42&gt;=Assumptions!$C$46*(Assumptions!$C$29+Assumptions!$C$30+Assumptions!$C$31+Assumptions!$C$32)*POWER(1+Assumptions!$C$40,4)*1.000000,-MAX(0,BM39*Assumptions!$C$45),0)</x:f>
        <x:v>-7043939.032812653</x:v>
      </x:c>
      <x:c r="BN41" s="58" t="n">
        <x:f>IF(BM42&gt;=Assumptions!$C$46*(Assumptions!$C$29+Assumptions!$C$30+Assumptions!$C$31+Assumptions!$C$32)*POWER(1+Assumptions!$C$40,4)*1.000000,-MAX(0,BN39*Assumptions!$C$45),0)</x:f>
        <x:v>-7218112.332812656</x:v>
      </x:c>
      <x:c r="BO41" s="58" t="n">
        <x:f>IF(BN42&gt;=Assumptions!$C$46*(Assumptions!$C$29+Assumptions!$C$30+Assumptions!$C$31+Assumptions!$C$32)*POWER(1+Assumptions!$C$40,4)*1.000000,-MAX(0,BO39*Assumptions!$C$45),0)</x:f>
        <x:v>-7740632.232812666</x:v>
      </x:c>
      <x:c r="BP41" s="58" t="n">
        <x:f>IF(BO42&gt;=Assumptions!$C$46*(Assumptions!$C$29+Assumptions!$C$30+Assumptions!$C$31+Assumptions!$C$32)*POWER(1+Assumptions!$C$40,4)*1.000000,-MAX(0,BP39*Assumptions!$C$45),0)</x:f>
        <x:v>-8000317.182812674</x:v>
      </x:c>
    </x:row>
    <x:row r="42">
      <x:c r="A42" s="114" t="str">
        <x:v>Деньги на конец периода</x:v>
      </x:c>
      <x:c r="B42" s="114" t="str">
        <x:v>Накопленный остаток после операций, инвестиций и дивидендов</x:v>
      </x:c>
      <x:c r="C42" s="119" t="n">
        <x:f>T42</x:f>
        <x:v>55953500</x:v>
      </x:c>
      <x:c r="D42" s="122" t="n">
        <x:f>AF42</x:f>
        <x:v>103392999.99997905</x:v>
      </x:c>
      <x:c r="E42" s="124" t="n">
        <x:f>AR42</x:f>
        <x:v>154080812.49994448</x:v>
      </x:c>
      <x:c r="F42" s="127" t="n">
        <x:f>BD42</x:f>
        <x:v>240695400.62491748</x:v>
      </x:c>
      <x:c r="G42" s="130" t="n">
        <x:f>BP42</x:f>
        <x:v>392510878.1561707</x:v>
      </x:c>
      <x:c r="H42" s="116"/>
      <x:c r="I42" s="116" t="n">
        <x:f>I39+I40+I41</x:f>
        <x:v>27474500</x:v>
      </x:c>
      <x:c r="J42" s="116" t="n">
        <x:f>I42+J39+J40+J41</x:f>
        <x:v>29942658.275</x:v>
      </x:c>
      <x:c r="K42" s="116" t="n">
        <x:f>J42+K39+K40+K41</x:f>
        <x:v>32413474.825</x:v>
      </x:c>
      <x:c r="L42" s="116" t="n">
        <x:f>K42+L39+L40+L41</x:f>
        <x:v>34922539.65</x:v>
      </x:c>
      <x:c r="M42" s="116" t="n">
        <x:f>L42+M39+M40+M41</x:f>
        <x:v>37434262.75</x:v>
      </x:c>
      <x:c r="N42" s="116" t="n">
        <x:f>M42+N39+N40+N41</x:f>
        <x:v>39939644.125</x:v>
      </x:c>
      <x:c r="O42" s="116" t="n">
        <x:f>N42+O39+O40+O41</x:f>
        <x:v>42483272.75</x:v>
      </x:c>
      <x:c r="P42" s="116" t="n">
        <x:f>O42+P39+P40+P41</x:f>
        <x:v>45020559.65</x:v>
      </x:c>
      <x:c r="Q42" s="116" t="n">
        <x:f>P42+Q39+Q40+Q41</x:f>
        <x:v>47605094.824999996</x:v>
      </x:c>
      <x:c r="R42" s="116" t="n">
        <x:f>Q42+R39+R40+R41</x:f>
        <x:v>50227878.275</x:v>
      </x:c>
      <x:c r="S42" s="116" t="n">
        <x:f>R42+S39+S40+S41</x:f>
        <x:v>53049270</x:v>
      </x:c>
      <x:c r="T42" s="116" t="n">
        <x:f>S42+T39+T40+T41</x:f>
        <x:v>55953500</x:v>
      </x:c>
      <x:c r="U42" s="116" t="n">
        <x:f>T42+U39+U40+U41</x:f>
        <x:v>59404062.49999843</x:v>
      </x:c>
      <x:c r="V42" s="116" t="n">
        <x:f>U42+V39+V40+V41</x:f>
        <x:v>62911982.49999683</x:v>
      </x:c>
      <x:c r="W42" s="116" t="n">
        <x:f>V42+W39+W40+W41</x:f>
        <x:v>66486259.99999522</x:v>
      </x:c>
      <x:c r="X42" s="116" t="n">
        <x:f>W42+X39+X40+X41</x:f>
        <x:v>70175252.49999356</x:v>
      </x:c>
      <x:c r="Y42" s="116" t="n">
        <x:f>X42+Y39+Y40+Y41</x:f>
        <x:v>73930602.4999919</x:v>
      </x:c>
      <x:c r="Z42" s="116" t="n">
        <x:f>Y42+Z39+Z40+Z41</x:f>
        <x:v>77743309.9999902</x:v>
      </x:c>
      <x:c r="AA42" s="116" t="n">
        <x:f>Z42+AA39+AA40+AA41</x:f>
        <x:v>81679732.49998845</x:v>
      </x:c>
      <x:c r="AB42" s="116" t="n">
        <x:f>AA42+AB39+AB40+AB41</x:f>
        <x:v>85673512.4999867</x:v>
      </x:c>
      <x:c r="AC42" s="116" t="n">
        <x:f>AB42+AC39+AC40+AC41</x:f>
        <x:v>89791007.49998489</x:v>
      </x:c>
      <x:c r="AD42" s="116" t="n">
        <x:f>AC42+AD39+AD40+AD41</x:f>
        <x:v>94023217.49998304</x:v>
      </x:c>
      <x:c r="AE42" s="116" t="n">
        <x:f>AD42+AE39+AE40+AE41</x:f>
        <x:v>98617572.49998108</x:v>
      </x:c>
      <x:c r="AF42" s="116" t="n">
        <x:f>AE42+AF39+AF40+AF41</x:f>
        <x:v>103392999.99997905</x:v>
      </x:c>
      <x:c r="AG42" s="116" t="n">
        <x:f>AF42+AG39+AG40+AG41</x:f>
        <x:v>107119084.37497646</x:v>
      </x:c>
      <x:c r="AH42" s="116" t="n">
        <x:f>AG42+AH39+AH40+AH41</x:f>
        <x:v>110904565.74997383</x:v>
      </x:c>
      <x:c r="AI42" s="116" t="n">
        <x:f>AH42+AI39+AI40+AI41</x:f>
        <x:v>114749444.12497117</x:v>
      </x:c>
      <x:c r="AJ42" s="116" t="n">
        <x:f>AI42+AJ39+AJ40+AJ41</x:f>
        <x:v>118713116.49996844</x:v>
      </x:c>
      <x:c r="AK42" s="116" t="n">
        <x:f>AJ42+AK39+AK40+AK41</x:f>
        <x:v>122742035.87496567</x:v>
      </x:c>
      <x:c r="AL42" s="116" t="n">
        <x:f>AK42+AL39+AL40+AL41</x:f>
        <x:v>126830352.24996287</x:v>
      </x:c>
      <x:c r="AM42" s="116" t="n">
        <x:f>AL42+AM39+AM40+AM41</x:f>
        <x:v>131031612.62496</x:v>
      </x:c>
      <x:c r="AN42" s="116" t="n">
        <x:f>AM42+AN39+AN40+AN41</x:f>
        <x:v>135292269.99995708</x:v>
      </x:c>
      <x:c r="AO42" s="116" t="n">
        <x:f>AN42+AO39+AO40+AO41</x:f>
        <x:v>139677571.3749541</x:v>
      </x:c>
      <x:c r="AP42" s="116" t="n">
        <x:f>AO42+AP39+AP40+AP41</x:f>
        <x:v>144181666.74995106</x:v>
      </x:c>
      <x:c r="AQ42" s="116" t="n">
        <x:f>AP42+AQ39+AQ40+AQ41</x:f>
        <x:v>149042144.12494782</x:v>
      </x:c>
      <x:c r="AR42" s="116" t="n">
        <x:f>AQ42+AR39+AR40+AR41</x:f>
        <x:v>154080812.49994448</x:v>
      </x:c>
      <x:c r="AS42" s="116" t="n">
        <x:f>AR42+AS39+AS40+AS41</x:f>
        <x:v>160503582.34369245</x:v>
      </x:c>
      <x:c r="AT42" s="116" t="n">
        <x:f>AS42+AT39+AT40+AT41</x:f>
        <x:v>167019542.6874404</x:v>
      </x:c>
      <x:c r="AU42" s="116" t="n">
        <x:f>AT42+AU39+AU40+AU41</x:f>
        <x:v>173628693.53118834</x:v>
      </x:c>
      <x:c r="AV42" s="116" t="n">
        <x:f>AU42+AV39+AV40+AV41</x:f>
        <x:v>180430075.37493622</x:v>
      </x:c>
      <x:c r="AW42" s="116" t="n">
        <x:f>AV42+AW39+AW40+AW41</x:f>
        <x:v>187330497.71868408</x:v>
      </x:c>
      <x:c r="AX42" s="116" t="n">
        <x:f>AW42+AX39+AX40+AX41</x:f>
        <x:v>194324110.56243187</x:v>
      </x:c>
      <x:c r="AY42" s="116" t="n">
        <x:f>AX42+AY39+AY40+AY41</x:f>
        <x:v>201509954.4061796</x:v>
      </x:c>
      <x:c r="AZ42" s="116" t="n">
        <x:f>AY42+AZ39+AZ40+AZ41</x:f>
        <x:v>208788988.74992734</x:v>
      </x:c>
      <x:c r="BA42" s="116" t="n">
        <x:f>AZ42+BA39+BA40+BA41</x:f>
        <x:v>216260254.09367502</x:v>
      </x:c>
      <x:c r="BB42" s="116" t="n">
        <x:f>BA42+BB39+BB40+BB41</x:f>
        <x:v>223923750.43742263</x:v>
      </x:c>
      <x:c r="BC42" s="116" t="n">
        <x:f>BB42+BC39+BC40+BC41</x:f>
        <x:v>232163939.7811701</x:v>
      </x:c>
      <x:c r="BD42" s="116" t="n">
        <x:f>BC42+BD39+BD40+BD41</x:f>
        <x:v>240695400.62491748</x:v>
      </x:c>
      <x:c r="BE42" s="116" t="n">
        <x:f>BD42+BE39+BE40+BE41</x:f>
        <x:v>252000870.83585522</x:v>
      </x:c>
      <x:c r="BF42" s="116" t="n">
        <x:f>BE42+BF39+BF40+BF41</x:f>
        <x:v>263465148.39679298</x:v>
      </x:c>
      <x:c r="BG42" s="116" t="n">
        <x:f>BF42+BG39+BG40+BG41</x:f>
        <x:v>275094083.30773073</x:v>
      </x:c>
      <x:c r="BH42" s="116" t="n">
        <x:f>BG42+BH39+BH40+BH41</x:f>
        <x:v>287046482.9186685</x:v>
      </x:c>
      <x:c r="BI42" s="116" t="n">
        <x:f>BH42+BI39+BI40+BI41</x:f>
        <x:v>299157689.8796063</x:v>
      </x:c>
      <x:c r="BJ42" s="116" t="n">
        <x:f>BI42+BJ39+BJ40+BJ41</x:f>
        <x:v>311433554.19054407</x:v>
      </x:c>
      <x:c r="BK42" s="116" t="n">
        <x:f>BJ42+BK39+BK40+BK41</x:f>
        <x:v>324032883.2014818</x:v>
      </x:c>
      <x:c r="BL42" s="116" t="n">
        <x:f>BK42+BL39+BL40+BL41</x:f>
        <x:v>336791019.5624196</x:v>
      </x:c>
      <x:c r="BM42" s="116" t="n">
        <x:f>BL42+BM39+BM40+BM41</x:f>
        <x:v>349872620.62335736</x:v>
      </x:c>
      <x:c r="BN42" s="116" t="n">
        <x:f>BM42+BN39+BN40+BN41</x:f>
        <x:v>363277686.3842951</x:v>
      </x:c>
      <x:c r="BO42" s="116" t="n">
        <x:f>BN42+BO39+BO40+BO41</x:f>
        <x:v>377653146.24523294</x:v>
      </x:c>
      <x:c r="BP42" s="116" t="n">
        <x:f>BO42+BP39+BP40+BP41</x:f>
        <x:v>392510878.1561707</x:v>
      </x:c>
    </x:row>
    <x:row r="43">
      <x:c r="A43" s="26" t="str">
        <x:v>Индикатор операционной безубыточности</x:v>
      </x:c>
      <x:c r="B43" s="26" t="str">
        <x:v>1 означает, что EBITDA месяца стала положительной</x:v>
      </x:c>
      <x:c r="C43" s="120" t="n">
        <x:f>MAX(I43:T43)</x:f>
        <x:v>1</x:v>
      </x:c>
      <x:c r="D43" s="123" t="n">
        <x:f>MAX(U43:AF43)</x:f>
        <x:v>1</x:v>
      </x:c>
      <x:c r="E43" s="125" t="n">
        <x:f>MAX(AG43:AR43)</x:f>
        <x:v>1</x:v>
      </x:c>
      <x:c r="F43" s="128" t="n">
        <x:f>MAX(AS43:BD43)</x:f>
        <x:v>1</x:v>
      </x:c>
      <x:c r="G43" s="131" t="n">
        <x:f>MAX(BE43:BP43)</x:f>
        <x:v>1</x:v>
      </x:c>
      <x:c r="H43" s="117"/>
      <x:c r="I43" s="117" t="n">
        <x:f>IF(I35&gt;0,1,0)</x:f>
        <x:v>1</x:v>
      </x:c>
      <x:c r="J43" s="117" t="n">
        <x:f>IF(J35&gt;0,1,0)</x:f>
        <x:v>1</x:v>
      </x:c>
      <x:c r="K43" s="117" t="n">
        <x:f>IF(K35&gt;0,1,0)</x:f>
        <x:v>1</x:v>
      </x:c>
      <x:c r="L43" s="117" t="n">
        <x:f>IF(L35&gt;0,1,0)</x:f>
        <x:v>1</x:v>
      </x:c>
      <x:c r="M43" s="117" t="n">
        <x:f>IF(M35&gt;0,1,0)</x:f>
        <x:v>1</x:v>
      </x:c>
      <x:c r="N43" s="117" t="n">
        <x:f>IF(N35&gt;0,1,0)</x:f>
        <x:v>1</x:v>
      </x:c>
      <x:c r="O43" s="117" t="n">
        <x:f>IF(O35&gt;0,1,0)</x:f>
        <x:v>1</x:v>
      </x:c>
      <x:c r="P43" s="117" t="n">
        <x:f>IF(P35&gt;0,1,0)</x:f>
        <x:v>1</x:v>
      </x:c>
      <x:c r="Q43" s="117" t="n">
        <x:f>IF(Q35&gt;0,1,0)</x:f>
        <x:v>1</x:v>
      </x:c>
      <x:c r="R43" s="117" t="n">
        <x:f>IF(R35&gt;0,1,0)</x:f>
        <x:v>1</x:v>
      </x:c>
      <x:c r="S43" s="117" t="n">
        <x:f>IF(S35&gt;0,1,0)</x:f>
        <x:v>1</x:v>
      </x:c>
      <x:c r="T43" s="117" t="n">
        <x:f>IF(T35&gt;0,1,0)</x:f>
        <x:v>1</x:v>
      </x:c>
      <x:c r="U43" s="117" t="n">
        <x:f>IF(U35&gt;0,1,0)</x:f>
        <x:v>1</x:v>
      </x:c>
      <x:c r="V43" s="117" t="n">
        <x:f>IF(V35&gt;0,1,0)</x:f>
        <x:v>1</x:v>
      </x:c>
      <x:c r="W43" s="117" t="n">
        <x:f>IF(W35&gt;0,1,0)</x:f>
        <x:v>1</x:v>
      </x:c>
      <x:c r="X43" s="117" t="n">
        <x:f>IF(X35&gt;0,1,0)</x:f>
        <x:v>1</x:v>
      </x:c>
      <x:c r="Y43" s="117" t="n">
        <x:f>IF(Y35&gt;0,1,0)</x:f>
        <x:v>1</x:v>
      </x:c>
      <x:c r="Z43" s="117" t="n">
        <x:f>IF(Z35&gt;0,1,0)</x:f>
        <x:v>1</x:v>
      </x:c>
      <x:c r="AA43" s="117" t="n">
        <x:f>IF(AA35&gt;0,1,0)</x:f>
        <x:v>1</x:v>
      </x:c>
      <x:c r="AB43" s="117" t="n">
        <x:f>IF(AB35&gt;0,1,0)</x:f>
        <x:v>1</x:v>
      </x:c>
      <x:c r="AC43" s="117" t="n">
        <x:f>IF(AC35&gt;0,1,0)</x:f>
        <x:v>1</x:v>
      </x:c>
      <x:c r="AD43" s="117" t="n">
        <x:f>IF(AD35&gt;0,1,0)</x:f>
        <x:v>1</x:v>
      </x:c>
      <x:c r="AE43" s="117" t="n">
        <x:f>IF(AE35&gt;0,1,0)</x:f>
        <x:v>1</x:v>
      </x:c>
      <x:c r="AF43" s="117" t="n">
        <x:f>IF(AF35&gt;0,1,0)</x:f>
        <x:v>1</x:v>
      </x:c>
      <x:c r="AG43" s="117" t="n">
        <x:f>IF(AG35&gt;0,1,0)</x:f>
        <x:v>1</x:v>
      </x:c>
      <x:c r="AH43" s="117" t="n">
        <x:f>IF(AH35&gt;0,1,0)</x:f>
        <x:v>1</x:v>
      </x:c>
      <x:c r="AI43" s="117" t="n">
        <x:f>IF(AI35&gt;0,1,0)</x:f>
        <x:v>1</x:v>
      </x:c>
      <x:c r="AJ43" s="117" t="n">
        <x:f>IF(AJ35&gt;0,1,0)</x:f>
        <x:v>1</x:v>
      </x:c>
      <x:c r="AK43" s="117" t="n">
        <x:f>IF(AK35&gt;0,1,0)</x:f>
        <x:v>1</x:v>
      </x:c>
      <x:c r="AL43" s="117" t="n">
        <x:f>IF(AL35&gt;0,1,0)</x:f>
        <x:v>1</x:v>
      </x:c>
      <x:c r="AM43" s="117" t="n">
        <x:f>IF(AM35&gt;0,1,0)</x:f>
        <x:v>1</x:v>
      </x:c>
      <x:c r="AN43" s="117" t="n">
        <x:f>IF(AN35&gt;0,1,0)</x:f>
        <x:v>1</x:v>
      </x:c>
      <x:c r="AO43" s="117" t="n">
        <x:f>IF(AO35&gt;0,1,0)</x:f>
        <x:v>1</x:v>
      </x:c>
      <x:c r="AP43" s="117" t="n">
        <x:f>IF(AP35&gt;0,1,0)</x:f>
        <x:v>1</x:v>
      </x:c>
      <x:c r="AQ43" s="117" t="n">
        <x:f>IF(AQ35&gt;0,1,0)</x:f>
        <x:v>1</x:v>
      </x:c>
      <x:c r="AR43" s="117" t="n">
        <x:f>IF(AR35&gt;0,1,0)</x:f>
        <x:v>1</x:v>
      </x:c>
      <x:c r="AS43" s="117" t="n">
        <x:f>IF(AS35&gt;0,1,0)</x:f>
        <x:v>1</x:v>
      </x:c>
      <x:c r="AT43" s="117" t="n">
        <x:f>IF(AT35&gt;0,1,0)</x:f>
        <x:v>1</x:v>
      </x:c>
      <x:c r="AU43" s="117" t="n">
        <x:f>IF(AU35&gt;0,1,0)</x:f>
        <x:v>1</x:v>
      </x:c>
      <x:c r="AV43" s="117" t="n">
        <x:f>IF(AV35&gt;0,1,0)</x:f>
        <x:v>1</x:v>
      </x:c>
      <x:c r="AW43" s="117" t="n">
        <x:f>IF(AW35&gt;0,1,0)</x:f>
        <x:v>1</x:v>
      </x:c>
      <x:c r="AX43" s="117" t="n">
        <x:f>IF(AX35&gt;0,1,0)</x:f>
        <x:v>1</x:v>
      </x:c>
      <x:c r="AY43" s="117" t="n">
        <x:f>IF(AY35&gt;0,1,0)</x:f>
        <x:v>1</x:v>
      </x:c>
      <x:c r="AZ43" s="117" t="n">
        <x:f>IF(AZ35&gt;0,1,0)</x:f>
        <x:v>1</x:v>
      </x:c>
      <x:c r="BA43" s="117" t="n">
        <x:f>IF(BA35&gt;0,1,0)</x:f>
        <x:v>1</x:v>
      </x:c>
      <x:c r="BB43" s="117" t="n">
        <x:f>IF(BB35&gt;0,1,0)</x:f>
        <x:v>1</x:v>
      </x:c>
      <x:c r="BC43" s="117" t="n">
        <x:f>IF(BC35&gt;0,1,0)</x:f>
        <x:v>1</x:v>
      </x:c>
      <x:c r="BD43" s="117" t="n">
        <x:f>IF(BD35&gt;0,1,0)</x:f>
        <x:v>1</x:v>
      </x:c>
      <x:c r="BE43" s="117" t="n">
        <x:f>IF(BE35&gt;0,1,0)</x:f>
        <x:v>1</x:v>
      </x:c>
      <x:c r="BF43" s="117" t="n">
        <x:f>IF(BF35&gt;0,1,0)</x:f>
        <x:v>1</x:v>
      </x:c>
      <x:c r="BG43" s="117" t="n">
        <x:f>IF(BG35&gt;0,1,0)</x:f>
        <x:v>1</x:v>
      </x:c>
      <x:c r="BH43" s="117" t="n">
        <x:f>IF(BH35&gt;0,1,0)</x:f>
        <x:v>1</x:v>
      </x:c>
      <x:c r="BI43" s="117" t="n">
        <x:f>IF(BI35&gt;0,1,0)</x:f>
        <x:v>1</x:v>
      </x:c>
      <x:c r="BJ43" s="117" t="n">
        <x:f>IF(BJ35&gt;0,1,0)</x:f>
        <x:v>1</x:v>
      </x:c>
      <x:c r="BK43" s="117" t="n">
        <x:f>IF(BK35&gt;0,1,0)</x:f>
        <x:v>1</x:v>
      </x:c>
      <x:c r="BL43" s="117" t="n">
        <x:f>IF(BL35&gt;0,1,0)</x:f>
        <x:v>1</x:v>
      </x:c>
      <x:c r="BM43" s="117" t="n">
        <x:f>IF(BM35&gt;0,1,0)</x:f>
        <x:v>1</x:v>
      </x:c>
      <x:c r="BN43" s="117" t="n">
        <x:f>IF(BN35&gt;0,1,0)</x:f>
        <x:v>1</x:v>
      </x:c>
      <x:c r="BO43" s="117" t="n">
        <x:f>IF(BO35&gt;0,1,0)</x:f>
        <x:v>1</x:v>
      </x:c>
      <x:c r="BP43" s="117" t="n">
        <x:f>IF(BP35&gt;0,1,0)</x:f>
        <x:v>1</x:v>
      </x:c>
    </x:row>
  </x:sheetData>
  <x:mergeCells>
    <x:mergeCell ref="A1:BP1"/>
    <x:mergeCell ref="A2:BP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24" hidden="0" customWidth="1"/>
    <x:col min="3" max="3" width="20" hidden="0" customWidth="1"/>
    <x:col min="4" max="4" width="24" hidden="0" customWidth="1"/>
    <x:col min="5" max="5" width="28" hidden="0" customWidth="1"/>
    <x:col min="6" max="6" width="19" hidden="0" customWidth="1"/>
    <x:col min="7" max="7" width="28" hidden="0" customWidth="1"/>
    <x:col min="8" max="8" width="58" hidden="0" customWidth="1"/>
  </x:cols>
  <x:sheetData>
    <x:row r="1" ht="32" customHeight="1">
      <x:c r="A1" s="45" t="str">
        <x:v>Команда и пропускная способность — сколько людей нужно для плана</x:v>
      </x:c>
      <x:c r="B1" s="45"/>
      <x:c r="C1" s="45"/>
      <x:c r="D1" s="45"/>
      <x:c r="E1" s="45"/>
      <x:c r="F1" s="45"/>
      <x:c r="G1" s="45"/>
      <x:c r="H1" s="45"/>
    </x:row>
    <x:row r="2" ht="34" customHeight="1">
      <x:c r="A2" s="7" t="str">
        <x:v>Лист показывает загрузку команды. Ассистенты нужны только для тарифа 2 «С экспертом». Light обслуживается AI и в ручную нагрузку не входит. Руководители проектов считаются по активным объектам сопровождения.</x:v>
      </x:c>
      <x:c r="B2" s="7"/>
      <x:c r="C2" s="7"/>
      <x:c r="D2" s="7"/>
      <x:c r="E2" s="7"/>
      <x:c r="F2" s="7"/>
      <x:c r="G2" s="7"/>
      <x:c r="H2" s="7"/>
    </x:row>
    <x:row r="3">
      <x:c r="A3" s="48"/>
      <x:c r="B3" s="48"/>
      <x:c r="C3" s="48"/>
      <x:c r="D3" s="48"/>
      <x:c r="E3" s="48"/>
      <x:c r="F3" s="48"/>
      <x:c r="G3" s="48"/>
      <x:c r="H3" s="48"/>
    </x:row>
    <x:row r="4" ht="28" customHeight="1">
      <x:c r="A4" s="18" t="str">
        <x:v>Месяц</x:v>
      </x:c>
      <x:c r="B4" s="18" t="str">
        <x:v>Активные клиенты тарифа 2</x:v>
      </x:c>
      <x:c r="C4" s="18" t="str">
        <x:v>Активные объекты</x:v>
      </x:c>
      <x:c r="D4" s="18" t="str">
        <x:v>Требуется ассистентов, FTE</x:v>
      </x:c>
      <x:c r="E4" s="18" t="str">
        <x:v>Требуется руководителей проектов, FTE</x:v>
      </x:c>
      <x:c r="F4" s="18" t="str">
        <x:v>Ассистентов в штате</x:v>
      </x:c>
      <x:c r="G4" s="18" t="str">
        <x:v>Руководителей проектов в штате</x:v>
      </x:c>
      <x:c r="H4" s="18" t="str">
        <x:v>Расшифровка</x:v>
      </x:c>
    </x:row>
    <x:row r="5" ht="46" customHeight="1">
      <x:c r="A5" s="22" t="str">
        <x:v>Период</x:v>
      </x:c>
      <x:c r="B5" s="22" t="str">
        <x:v>Целое число клиентов тарифа 2</x:v>
      </x:c>
      <x:c r="C5" s="22" t="str">
        <x:v>Целое число объектов в сопровождении</x:v>
      </x:c>
      <x:c r="D5" s="22" t="str">
        <x:v>Расчётная загрузка в эквиваленте полной ставки</x:v>
      </x:c>
      <x:c r="E5" s="22" t="str">
        <x:v>Расчётная загрузка в эквиваленте полной ставки</x:v>
      </x:c>
      <x:c r="F5" s="22" t="str">
        <x:v>Целое число сотрудников</x:v>
      </x:c>
      <x:c r="G5" s="22" t="str">
        <x:v>Целое число сотрудников</x:v>
      </x:c>
      <x:c r="H5" s="22" t="str">
        <x:v>Используемые нормативы</x:v>
      </x:c>
    </x:row>
    <x:row r="6">
      <x:c r="A6" s="133" t="n">
        <x:f>Revenue!A6</x:f>
        <x:v>46296</x:v>
      </x:c>
      <x:c r="B6" s="95" t="n">
        <x:f>Revenue!L6</x:f>
        <x:v>27</x:v>
      </x:c>
      <x:c r="C6" s="95" t="n">
        <x:f>Revenue!R6</x:f>
        <x:v>28</x:v>
      </x:c>
      <x:c r="D6" s="134" t="n">
        <x:f>B6/Assumptions!$C$27</x:f>
        <x:v>1.35</x:v>
      </x:c>
      <x:c r="E6" s="134" t="n">
        <x:f>C6/Assumptions!$C$28</x:f>
        <x:v>7</x:v>
      </x:c>
      <x:c r="F6" s="95" t="n">
        <x:f>ROUNDUP(D6,0)</x:f>
        <x:v>2</x:v>
      </x:c>
      <x:c r="G6" s="95" t="n">
        <x:f>ROUNDUP(E6,0)</x:f>
        <x:v>7</x:v>
      </x:c>
      <x:c r="H6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7">
      <x:c r="A7" s="133" t="n">
        <x:f>Revenue!A7</x:f>
        <x:v>46327</x:v>
      </x:c>
      <x:c r="B7" s="95" t="n">
        <x:f>Revenue!L7</x:f>
        <x:v>27</x:v>
      </x:c>
      <x:c r="C7" s="95" t="n">
        <x:f>Revenue!R7</x:f>
        <x:v>28</x:v>
      </x:c>
      <x:c r="D7" s="134" t="n">
        <x:f>B7/Assumptions!$C$27</x:f>
        <x:v>1.35</x:v>
      </x:c>
      <x:c r="E7" s="134" t="n">
        <x:f>C7/Assumptions!$C$28</x:f>
        <x:v>7</x:v>
      </x:c>
      <x:c r="F7" s="95" t="n">
        <x:f>ROUNDUP(D7,0)</x:f>
        <x:v>2</x:v>
      </x:c>
      <x:c r="G7" s="95" t="n">
        <x:f>ROUNDUP(E7,0)</x:f>
        <x:v>7</x:v>
      </x:c>
      <x:c r="H7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8">
      <x:c r="A8" s="133" t="n">
        <x:f>Revenue!A8</x:f>
        <x:v>46357</x:v>
      </x:c>
      <x:c r="B8" s="95" t="n">
        <x:f>Revenue!L8</x:f>
        <x:v>27</x:v>
      </x:c>
      <x:c r="C8" s="95" t="n">
        <x:f>Revenue!R8</x:f>
        <x:v>29</x:v>
      </x:c>
      <x:c r="D8" s="134" t="n">
        <x:f>B8/Assumptions!$C$27</x:f>
        <x:v>1.35</x:v>
      </x:c>
      <x:c r="E8" s="134" t="n">
        <x:f>C8/Assumptions!$C$28</x:f>
        <x:v>7.25</x:v>
      </x:c>
      <x:c r="F8" s="95" t="n">
        <x:f>ROUNDUP(D8,0)</x:f>
        <x:v>2</x:v>
      </x:c>
      <x:c r="G8" s="95" t="n">
        <x:f>ROUNDUP(E8,0)</x:f>
        <x:v>8</x:v>
      </x:c>
      <x:c r="H8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9">
      <x:c r="A9" s="133" t="n">
        <x:f>Revenue!A9</x:f>
        <x:v>46388</x:v>
      </x:c>
      <x:c r="B9" s="95" t="n">
        <x:f>Revenue!L9</x:f>
        <x:v>28</x:v>
      </x:c>
      <x:c r="C9" s="95" t="n">
        <x:f>Revenue!R9</x:f>
        <x:v>29</x:v>
      </x:c>
      <x:c r="D9" s="134" t="n">
        <x:f>B9/Assumptions!$C$27</x:f>
        <x:v>1.4</x:v>
      </x:c>
      <x:c r="E9" s="134" t="n">
        <x:f>C9/Assumptions!$C$28</x:f>
        <x:v>7.25</x:v>
      </x:c>
      <x:c r="F9" s="95" t="n">
        <x:f>ROUNDUP(D9,0)</x:f>
        <x:v>2</x:v>
      </x:c>
      <x:c r="G9" s="95" t="n">
        <x:f>ROUNDUP(E9,0)</x:f>
        <x:v>8</x:v>
      </x:c>
      <x:c r="H9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10">
      <x:c r="A10" s="133" t="n">
        <x:f>Revenue!A10</x:f>
        <x:v>46419</x:v>
      </x:c>
      <x:c r="B10" s="95" t="n">
        <x:f>Revenue!L10</x:f>
        <x:v>28</x:v>
      </x:c>
      <x:c r="C10" s="95" t="n">
        <x:f>Revenue!R10</x:f>
        <x:v>30</x:v>
      </x:c>
      <x:c r="D10" s="134" t="n">
        <x:f>B10/Assumptions!$C$27</x:f>
        <x:v>1.4</x:v>
      </x:c>
      <x:c r="E10" s="134" t="n">
        <x:f>C10/Assumptions!$C$28</x:f>
        <x:v>7.5</x:v>
      </x:c>
      <x:c r="F10" s="95" t="n">
        <x:f>ROUNDUP(D10,0)</x:f>
        <x:v>2</x:v>
      </x:c>
      <x:c r="G10" s="95" t="n">
        <x:f>ROUNDUP(E10,0)</x:f>
        <x:v>8</x:v>
      </x:c>
      <x:c r="H10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11">
      <x:c r="A11" s="133" t="n">
        <x:f>Revenue!A11</x:f>
        <x:v>46447</x:v>
      </x:c>
      <x:c r="B11" s="95" t="n">
        <x:f>Revenue!L11</x:f>
        <x:v>29</x:v>
      </x:c>
      <x:c r="C11" s="95" t="n">
        <x:f>Revenue!R11</x:f>
        <x:v>30</x:v>
      </x:c>
      <x:c r="D11" s="134" t="n">
        <x:f>B11/Assumptions!$C$27</x:f>
        <x:v>1.45</x:v>
      </x:c>
      <x:c r="E11" s="134" t="n">
        <x:f>C11/Assumptions!$C$28</x:f>
        <x:v>7.5</x:v>
      </x:c>
      <x:c r="F11" s="95" t="n">
        <x:f>ROUNDUP(D11,0)</x:f>
        <x:v>2</x:v>
      </x:c>
      <x:c r="G11" s="95" t="n">
        <x:f>ROUNDUP(E11,0)</x:f>
        <x:v>8</x:v>
      </x:c>
      <x:c r="H11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12">
      <x:c r="A12" s="133" t="n">
        <x:f>Revenue!A12</x:f>
        <x:v>46478</x:v>
      </x:c>
      <x:c r="B12" s="95" t="n">
        <x:f>Revenue!L12</x:f>
        <x:v>29</x:v>
      </x:c>
      <x:c r="C12" s="95" t="n">
        <x:f>Revenue!R12</x:f>
        <x:v>31</x:v>
      </x:c>
      <x:c r="D12" s="134" t="n">
        <x:f>B12/Assumptions!$C$27</x:f>
        <x:v>1.45</x:v>
      </x:c>
      <x:c r="E12" s="134" t="n">
        <x:f>C12/Assumptions!$C$28</x:f>
        <x:v>7.75</x:v>
      </x:c>
      <x:c r="F12" s="95" t="n">
        <x:f>ROUNDUP(D12,0)</x:f>
        <x:v>2</x:v>
      </x:c>
      <x:c r="G12" s="95" t="n">
        <x:f>ROUNDUP(E12,0)</x:f>
        <x:v>8</x:v>
      </x:c>
      <x:c r="H12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13">
      <x:c r="A13" s="133" t="n">
        <x:f>Revenue!A13</x:f>
        <x:v>46508</x:v>
      </x:c>
      <x:c r="B13" s="95" t="n">
        <x:f>Revenue!L13</x:f>
        <x:v>30</x:v>
      </x:c>
      <x:c r="C13" s="95" t="n">
        <x:f>Revenue!R13</x:f>
        <x:v>31</x:v>
      </x:c>
      <x:c r="D13" s="134" t="n">
        <x:f>B13/Assumptions!$C$27</x:f>
        <x:v>1.5</x:v>
      </x:c>
      <x:c r="E13" s="134" t="n">
        <x:f>C13/Assumptions!$C$28</x:f>
        <x:v>7.75</x:v>
      </x:c>
      <x:c r="F13" s="95" t="n">
        <x:f>ROUNDUP(D13,0)</x:f>
        <x:v>2</x:v>
      </x:c>
      <x:c r="G13" s="95" t="n">
        <x:f>ROUNDUP(E13,0)</x:f>
        <x:v>8</x:v>
      </x:c>
      <x:c r="H13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14">
      <x:c r="A14" s="133" t="n">
        <x:f>Revenue!A14</x:f>
        <x:v>46539</x:v>
      </x:c>
      <x:c r="B14" s="95" t="n">
        <x:f>Revenue!L14</x:f>
        <x:v>30</x:v>
      </x:c>
      <x:c r="C14" s="95" t="n">
        <x:f>Revenue!R14</x:f>
        <x:v>32</x:v>
      </x:c>
      <x:c r="D14" s="134" t="n">
        <x:f>B14/Assumptions!$C$27</x:f>
        <x:v>1.5</x:v>
      </x:c>
      <x:c r="E14" s="134" t="n">
        <x:f>C14/Assumptions!$C$28</x:f>
        <x:v>8</x:v>
      </x:c>
      <x:c r="F14" s="95" t="n">
        <x:f>ROUNDUP(D14,0)</x:f>
        <x:v>2</x:v>
      </x:c>
      <x:c r="G14" s="95" t="n">
        <x:f>ROUNDUP(E14,0)</x:f>
        <x:v>8</x:v>
      </x:c>
      <x:c r="H14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15">
      <x:c r="A15" s="133" t="n">
        <x:f>Revenue!A15</x:f>
        <x:v>46569</x:v>
      </x:c>
      <x:c r="B15" s="95" t="n">
        <x:f>Revenue!L15</x:f>
        <x:v>31</x:v>
      </x:c>
      <x:c r="C15" s="95" t="n">
        <x:f>Revenue!R15</x:f>
        <x:v>33</x:v>
      </x:c>
      <x:c r="D15" s="134" t="n">
        <x:f>B15/Assumptions!$C$27</x:f>
        <x:v>1.55</x:v>
      </x:c>
      <x:c r="E15" s="134" t="n">
        <x:f>C15/Assumptions!$C$28</x:f>
        <x:v>8.25</x:v>
      </x:c>
      <x:c r="F15" s="95" t="n">
        <x:f>ROUNDUP(D15,0)</x:f>
        <x:v>2</x:v>
      </x:c>
      <x:c r="G15" s="95" t="n">
        <x:f>ROUNDUP(E15,0)</x:f>
        <x:v>9</x:v>
      </x:c>
      <x:c r="H15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16">
      <x:c r="A16" s="133" t="n">
        <x:f>Revenue!A16</x:f>
        <x:v>46600</x:v>
      </x:c>
      <x:c r="B16" s="95" t="n">
        <x:f>Revenue!L16</x:f>
        <x:v>33</x:v>
      </x:c>
      <x:c r="C16" s="95" t="n">
        <x:f>Revenue!R16</x:f>
        <x:v>35</x:v>
      </x:c>
      <x:c r="D16" s="134" t="n">
        <x:f>B16/Assumptions!$C$27</x:f>
        <x:v>1.65</x:v>
      </x:c>
      <x:c r="E16" s="134" t="n">
        <x:f>C16/Assumptions!$C$28</x:f>
        <x:v>8.75</x:v>
      </x:c>
      <x:c r="F16" s="95" t="n">
        <x:f>ROUNDUP(D16,0)</x:f>
        <x:v>2</x:v>
      </x:c>
      <x:c r="G16" s="95" t="n">
        <x:f>ROUNDUP(E16,0)</x:f>
        <x:v>9</x:v>
      </x:c>
      <x:c r="H16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17">
      <x:c r="A17" s="133" t="n">
        <x:f>Revenue!A17</x:f>
        <x:v>46631</x:v>
      </x:c>
      <x:c r="B17" s="95" t="n">
        <x:f>Revenue!L17</x:f>
        <x:v>34</x:v>
      </x:c>
      <x:c r="C17" s="95" t="n">
        <x:f>Revenue!R17</x:f>
        <x:v>36</x:v>
      </x:c>
      <x:c r="D17" s="134" t="n">
        <x:f>B17/Assumptions!$C$27</x:f>
        <x:v>1.7</x:v>
      </x:c>
      <x:c r="E17" s="134" t="n">
        <x:f>C17/Assumptions!$C$28</x:f>
        <x:v>9</x:v>
      </x:c>
      <x:c r="F17" s="95" t="n">
        <x:f>ROUNDUP(D17,0)</x:f>
        <x:v>2</x:v>
      </x:c>
      <x:c r="G17" s="95" t="n">
        <x:f>ROUNDUP(E17,0)</x:f>
        <x:v>9</x:v>
      </x:c>
      <x:c r="H17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18">
      <x:c r="A18" s="133" t="n">
        <x:f>Revenue!A18</x:f>
        <x:v>46661</x:v>
      </x:c>
      <x:c r="B18" s="95" t="n">
        <x:f>Revenue!L18</x:f>
        <x:v>48</x:v>
      </x:c>
      <x:c r="C18" s="95" t="n">
        <x:f>Revenue!R18</x:f>
        <x:v>33</x:v>
      </x:c>
      <x:c r="D18" s="134" t="n">
        <x:f>B18/Assumptions!$C$27</x:f>
        <x:v>2.4</x:v>
      </x:c>
      <x:c r="E18" s="134" t="n">
        <x:f>C18/Assumptions!$C$28</x:f>
        <x:v>8.25</x:v>
      </x:c>
      <x:c r="F18" s="95" t="n">
        <x:f>ROUNDUP(D18,0)</x:f>
        <x:v>3</x:v>
      </x:c>
      <x:c r="G18" s="95" t="n">
        <x:f>ROUNDUP(E18,0)</x:f>
        <x:v>9</x:v>
      </x:c>
      <x:c r="H18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19">
      <x:c r="A19" s="133" t="n">
        <x:f>Revenue!A19</x:f>
        <x:v>46692</x:v>
      </x:c>
      <x:c r="B19" s="95" t="n">
        <x:f>Revenue!L19</x:f>
        <x:v>49</x:v>
      </x:c>
      <x:c r="C19" s="95" t="n">
        <x:f>Revenue!R19</x:f>
        <x:v>34</x:v>
      </x:c>
      <x:c r="D19" s="134" t="n">
        <x:f>B19/Assumptions!$C$27</x:f>
        <x:v>2.45</x:v>
      </x:c>
      <x:c r="E19" s="134" t="n">
        <x:f>C19/Assumptions!$C$28</x:f>
        <x:v>8.5</x:v>
      </x:c>
      <x:c r="F19" s="95" t="n">
        <x:f>ROUNDUP(D19,0)</x:f>
        <x:v>3</x:v>
      </x:c>
      <x:c r="G19" s="95" t="n">
        <x:f>ROUNDUP(E19,0)</x:f>
        <x:v>9</x:v>
      </x:c>
      <x:c r="H19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20">
      <x:c r="A20" s="133" t="n">
        <x:f>Revenue!A20</x:f>
        <x:v>46722</x:v>
      </x:c>
      <x:c r="B20" s="95" t="n">
        <x:f>Revenue!L20</x:f>
        <x:v>49</x:v>
      </x:c>
      <x:c r="C20" s="95" t="n">
        <x:f>Revenue!R20</x:f>
        <x:v>34</x:v>
      </x:c>
      <x:c r="D20" s="134" t="n">
        <x:f>B20/Assumptions!$C$27</x:f>
        <x:v>2.45</x:v>
      </x:c>
      <x:c r="E20" s="134" t="n">
        <x:f>C20/Assumptions!$C$28</x:f>
        <x:v>8.5</x:v>
      </x:c>
      <x:c r="F20" s="95" t="n">
        <x:f>ROUNDUP(D20,0)</x:f>
        <x:v>3</x:v>
      </x:c>
      <x:c r="G20" s="95" t="n">
        <x:f>ROUNDUP(E20,0)</x:f>
        <x:v>9</x:v>
      </x:c>
      <x:c r="H20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21">
      <x:c r="A21" s="133" t="n">
        <x:f>Revenue!A21</x:f>
        <x:v>46753</x:v>
      </x:c>
      <x:c r="B21" s="95" t="n">
        <x:f>Revenue!L21</x:f>
        <x:v>51</x:v>
      </x:c>
      <x:c r="C21" s="95" t="n">
        <x:f>Revenue!R21</x:f>
        <x:v>35</x:v>
      </x:c>
      <x:c r="D21" s="134" t="n">
        <x:f>B21/Assumptions!$C$27</x:f>
        <x:v>2.55</x:v>
      </x:c>
      <x:c r="E21" s="134" t="n">
        <x:f>C21/Assumptions!$C$28</x:f>
        <x:v>8.75</x:v>
      </x:c>
      <x:c r="F21" s="95" t="n">
        <x:f>ROUNDUP(D21,0)</x:f>
        <x:v>3</x:v>
      </x:c>
      <x:c r="G21" s="95" t="n">
        <x:f>ROUNDUP(E21,0)</x:f>
        <x:v>9</x:v>
      </x:c>
      <x:c r="H21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22">
      <x:c r="A22" s="133" t="n">
        <x:f>Revenue!A22</x:f>
        <x:v>46784</x:v>
      </x:c>
      <x:c r="B22" s="95" t="n">
        <x:f>Revenue!L22</x:f>
        <x:v>51</x:v>
      </x:c>
      <x:c r="C22" s="95" t="n">
        <x:f>Revenue!R22</x:f>
        <x:v>36</x:v>
      </x:c>
      <x:c r="D22" s="134" t="n">
        <x:f>B22/Assumptions!$C$27</x:f>
        <x:v>2.55</x:v>
      </x:c>
      <x:c r="E22" s="134" t="n">
        <x:f>C22/Assumptions!$C$28</x:f>
        <x:v>9</x:v>
      </x:c>
      <x:c r="F22" s="95" t="n">
        <x:f>ROUNDUP(D22,0)</x:f>
        <x:v>3</x:v>
      </x:c>
      <x:c r="G22" s="95" t="n">
        <x:f>ROUNDUP(E22,0)</x:f>
        <x:v>9</x:v>
      </x:c>
      <x:c r="H22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23">
      <x:c r="A23" s="133" t="n">
        <x:f>Revenue!A23</x:f>
        <x:v>46813</x:v>
      </x:c>
      <x:c r="B23" s="95" t="n">
        <x:f>Revenue!L23</x:f>
        <x:v>52</x:v>
      </x:c>
      <x:c r="C23" s="95" t="n">
        <x:f>Revenue!R23</x:f>
        <x:v>36</x:v>
      </x:c>
      <x:c r="D23" s="134" t="n">
        <x:f>B23/Assumptions!$C$27</x:f>
        <x:v>2.6</x:v>
      </x:c>
      <x:c r="E23" s="134" t="n">
        <x:f>C23/Assumptions!$C$28</x:f>
        <x:v>9</x:v>
      </x:c>
      <x:c r="F23" s="95" t="n">
        <x:f>ROUNDUP(D23,0)</x:f>
        <x:v>3</x:v>
      </x:c>
      <x:c r="G23" s="95" t="n">
        <x:f>ROUNDUP(E23,0)</x:f>
        <x:v>9</x:v>
      </x:c>
      <x:c r="H23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24">
      <x:c r="A24" s="133" t="n">
        <x:f>Revenue!A24</x:f>
        <x:v>46844</x:v>
      </x:c>
      <x:c r="B24" s="95" t="n">
        <x:f>Revenue!L24</x:f>
        <x:v>53</x:v>
      </x:c>
      <x:c r="C24" s="95" t="n">
        <x:f>Revenue!R24</x:f>
        <x:v>37</x:v>
      </x:c>
      <x:c r="D24" s="134" t="n">
        <x:f>B24/Assumptions!$C$27</x:f>
        <x:v>2.65</x:v>
      </x:c>
      <x:c r="E24" s="134" t="n">
        <x:f>C24/Assumptions!$C$28</x:f>
        <x:v>9.25</x:v>
      </x:c>
      <x:c r="F24" s="95" t="n">
        <x:f>ROUNDUP(D24,0)</x:f>
        <x:v>3</x:v>
      </x:c>
      <x:c r="G24" s="95" t="n">
        <x:f>ROUNDUP(E24,0)</x:f>
        <x:v>10</x:v>
      </x:c>
      <x:c r="H24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25">
      <x:c r="A25" s="133" t="n">
        <x:f>Revenue!A25</x:f>
        <x:v>46874</x:v>
      </x:c>
      <x:c r="B25" s="95" t="n">
        <x:f>Revenue!L25</x:f>
        <x:v>54</x:v>
      </x:c>
      <x:c r="C25" s="95" t="n">
        <x:f>Revenue!R25</x:f>
        <x:v>37</x:v>
      </x:c>
      <x:c r="D25" s="134" t="n">
        <x:f>B25/Assumptions!$C$27</x:f>
        <x:v>2.7</x:v>
      </x:c>
      <x:c r="E25" s="134" t="n">
        <x:f>C25/Assumptions!$C$28</x:f>
        <x:v>9.25</x:v>
      </x:c>
      <x:c r="F25" s="95" t="n">
        <x:f>ROUNDUP(D25,0)</x:f>
        <x:v>3</x:v>
      </x:c>
      <x:c r="G25" s="95" t="n">
        <x:f>ROUNDUP(E25,0)</x:f>
        <x:v>10</x:v>
      </x:c>
      <x:c r="H25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26">
      <x:c r="A26" s="133" t="n">
        <x:f>Revenue!A26</x:f>
        <x:v>46905</x:v>
      </x:c>
      <x:c r="B26" s="95" t="n">
        <x:f>Revenue!L26</x:f>
        <x:v>55</x:v>
      </x:c>
      <x:c r="C26" s="95" t="n">
        <x:f>Revenue!R26</x:f>
        <x:v>38</x:v>
      </x:c>
      <x:c r="D26" s="134" t="n">
        <x:f>B26/Assumptions!$C$27</x:f>
        <x:v>2.75</x:v>
      </x:c>
      <x:c r="E26" s="134" t="n">
        <x:f>C26/Assumptions!$C$28</x:f>
        <x:v>9.5</x:v>
      </x:c>
      <x:c r="F26" s="95" t="n">
        <x:f>ROUNDUP(D26,0)</x:f>
        <x:v>3</x:v>
      </x:c>
      <x:c r="G26" s="95" t="n">
        <x:f>ROUNDUP(E26,0)</x:f>
        <x:v>10</x:v>
      </x:c>
      <x:c r="H26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27">
      <x:c r="A27" s="133" t="n">
        <x:f>Revenue!A27</x:f>
        <x:v>46935</x:v>
      </x:c>
      <x:c r="B27" s="95" t="n">
        <x:f>Revenue!L27</x:f>
        <x:v>56</x:v>
      </x:c>
      <x:c r="C27" s="95" t="n">
        <x:f>Revenue!R27</x:f>
        <x:v>39</x:v>
      </x:c>
      <x:c r="D27" s="134" t="n">
        <x:f>B27/Assumptions!$C$27</x:f>
        <x:v>2.8</x:v>
      </x:c>
      <x:c r="E27" s="134" t="n">
        <x:f>C27/Assumptions!$C$28</x:f>
        <x:v>9.75</x:v>
      </x:c>
      <x:c r="F27" s="95" t="n">
        <x:f>ROUNDUP(D27,0)</x:f>
        <x:v>3</x:v>
      </x:c>
      <x:c r="G27" s="95" t="n">
        <x:f>ROUNDUP(E27,0)</x:f>
        <x:v>10</x:v>
      </x:c>
      <x:c r="H27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28">
      <x:c r="A28" s="133" t="n">
        <x:f>Revenue!A28</x:f>
        <x:v>46966</x:v>
      </x:c>
      <x:c r="B28" s="95" t="n">
        <x:f>Revenue!L28</x:f>
        <x:v>60</x:v>
      </x:c>
      <x:c r="C28" s="95" t="n">
        <x:f>Revenue!R28</x:f>
        <x:v>42</x:v>
      </x:c>
      <x:c r="D28" s="134" t="n">
        <x:f>B28/Assumptions!$C$27</x:f>
        <x:v>3</x:v>
      </x:c>
      <x:c r="E28" s="134" t="n">
        <x:f>C28/Assumptions!$C$28</x:f>
        <x:v>10.5</x:v>
      </x:c>
      <x:c r="F28" s="95" t="n">
        <x:f>ROUNDUP(D28,0)</x:f>
        <x:v>3</x:v>
      </x:c>
      <x:c r="G28" s="95" t="n">
        <x:f>ROUNDUP(E28,0)</x:f>
        <x:v>11</x:v>
      </x:c>
      <x:c r="H28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29">
      <x:c r="A29" s="133" t="n">
        <x:f>Revenue!A29</x:f>
        <x:v>46997</x:v>
      </x:c>
      <x:c r="B29" s="95" t="n">
        <x:f>Revenue!L29</x:f>
        <x:v>62</x:v>
      </x:c>
      <x:c r="C29" s="95" t="n">
        <x:f>Revenue!R29</x:f>
        <x:v>43</x:v>
      </x:c>
      <x:c r="D29" s="134" t="n">
        <x:f>B29/Assumptions!$C$27</x:f>
        <x:v>3.1</x:v>
      </x:c>
      <x:c r="E29" s="134" t="n">
        <x:f>C29/Assumptions!$C$28</x:f>
        <x:v>10.75</x:v>
      </x:c>
      <x:c r="F29" s="95" t="n">
        <x:f>ROUNDUP(D29,0)</x:f>
        <x:v>4</x:v>
      </x:c>
      <x:c r="G29" s="95" t="n">
        <x:f>ROUNDUP(E29,0)</x:f>
        <x:v>11</x:v>
      </x:c>
      <x:c r="H29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30">
      <x:c r="A30" s="133" t="n">
        <x:f>Revenue!A30</x:f>
        <x:v>47027</x:v>
      </x:c>
      <x:c r="B30" s="95" t="n">
        <x:f>Revenue!L30</x:f>
        <x:v>85</x:v>
      </x:c>
      <x:c r="C30" s="95" t="n">
        <x:f>Revenue!R30</x:f>
        <x:v>32</x:v>
      </x:c>
      <x:c r="D30" s="134" t="n">
        <x:f>B30/Assumptions!$C$27</x:f>
        <x:v>4.25</x:v>
      </x:c>
      <x:c r="E30" s="134" t="n">
        <x:f>C30/Assumptions!$C$28</x:f>
        <x:v>8</x:v>
      </x:c>
      <x:c r="F30" s="95" t="n">
        <x:f>ROUNDUP(D30,0)</x:f>
        <x:v>5</x:v>
      </x:c>
      <x:c r="G30" s="95" t="n">
        <x:f>ROUNDUP(E30,0)</x:f>
        <x:v>8</x:v>
      </x:c>
      <x:c r="H30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31">
      <x:c r="A31" s="133" t="n">
        <x:f>Revenue!A31</x:f>
        <x:v>47058</x:v>
      </x:c>
      <x:c r="B31" s="95" t="n">
        <x:f>Revenue!L31</x:f>
        <x:v>86</x:v>
      </x:c>
      <x:c r="C31" s="95" t="n">
        <x:f>Revenue!R31</x:f>
        <x:v>32</x:v>
      </x:c>
      <x:c r="D31" s="134" t="n">
        <x:f>B31/Assumptions!$C$27</x:f>
        <x:v>4.3</x:v>
      </x:c>
      <x:c r="E31" s="134" t="n">
        <x:f>C31/Assumptions!$C$28</x:f>
        <x:v>8</x:v>
      </x:c>
      <x:c r="F31" s="95" t="n">
        <x:f>ROUNDUP(D31,0)</x:f>
        <x:v>5</x:v>
      </x:c>
      <x:c r="G31" s="95" t="n">
        <x:f>ROUNDUP(E31,0)</x:f>
        <x:v>8</x:v>
      </x:c>
      <x:c r="H31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32">
      <x:c r="A32" s="133" t="n">
        <x:f>Revenue!A32</x:f>
        <x:v>47088</x:v>
      </x:c>
      <x:c r="B32" s="95" t="n">
        <x:f>Revenue!L32</x:f>
        <x:v>87</x:v>
      </x:c>
      <x:c r="C32" s="95" t="n">
        <x:f>Revenue!R32</x:f>
        <x:v>33</x:v>
      </x:c>
      <x:c r="D32" s="134" t="n">
        <x:f>B32/Assumptions!$C$27</x:f>
        <x:v>4.35</x:v>
      </x:c>
      <x:c r="E32" s="134" t="n">
        <x:f>C32/Assumptions!$C$28</x:f>
        <x:v>8.25</x:v>
      </x:c>
      <x:c r="F32" s="95" t="n">
        <x:f>ROUNDUP(D32,0)</x:f>
        <x:v>5</x:v>
      </x:c>
      <x:c r="G32" s="95" t="n">
        <x:f>ROUNDUP(E32,0)</x:f>
        <x:v>9</x:v>
      </x:c>
      <x:c r="H32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33">
      <x:c r="A33" s="133" t="n">
        <x:f>Revenue!A33</x:f>
        <x:v>47119</x:v>
      </x:c>
      <x:c r="B33" s="95" t="n">
        <x:f>Revenue!L33</x:f>
        <x:v>89</x:v>
      </x:c>
      <x:c r="C33" s="95" t="n">
        <x:f>Revenue!R33</x:f>
        <x:v>34</x:v>
      </x:c>
      <x:c r="D33" s="134" t="n">
        <x:f>B33/Assumptions!$C$27</x:f>
        <x:v>4.45</x:v>
      </x:c>
      <x:c r="E33" s="134" t="n">
        <x:f>C33/Assumptions!$C$28</x:f>
        <x:v>8.5</x:v>
      </x:c>
      <x:c r="F33" s="95" t="n">
        <x:f>ROUNDUP(D33,0)</x:f>
        <x:v>5</x:v>
      </x:c>
      <x:c r="G33" s="95" t="n">
        <x:f>ROUNDUP(E33,0)</x:f>
        <x:v>9</x:v>
      </x:c>
      <x:c r="H33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34">
      <x:c r="A34" s="133" t="n">
        <x:f>Revenue!A34</x:f>
        <x:v>47150</x:v>
      </x:c>
      <x:c r="B34" s="95" t="n">
        <x:f>Revenue!L34</x:f>
        <x:v>90</x:v>
      </x:c>
      <x:c r="C34" s="95" t="n">
        <x:f>Revenue!R34</x:f>
        <x:v>34</x:v>
      </x:c>
      <x:c r="D34" s="134" t="n">
        <x:f>B34/Assumptions!$C$27</x:f>
        <x:v>4.5</x:v>
      </x:c>
      <x:c r="E34" s="134" t="n">
        <x:f>C34/Assumptions!$C$28</x:f>
        <x:v>8.5</x:v>
      </x:c>
      <x:c r="F34" s="95" t="n">
        <x:f>ROUNDUP(D34,0)</x:f>
        <x:v>5</x:v>
      </x:c>
      <x:c r="G34" s="95" t="n">
        <x:f>ROUNDUP(E34,0)</x:f>
        <x:v>9</x:v>
      </x:c>
      <x:c r="H34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35">
      <x:c r="A35" s="133" t="n">
        <x:f>Revenue!A35</x:f>
        <x:v>47178</x:v>
      </x:c>
      <x:c r="B35" s="95" t="n">
        <x:f>Revenue!L35</x:f>
        <x:v>91</x:v>
      </x:c>
      <x:c r="C35" s="95" t="n">
        <x:f>Revenue!R35</x:f>
        <x:v>35</x:v>
      </x:c>
      <x:c r="D35" s="134" t="n">
        <x:f>B35/Assumptions!$C$27</x:f>
        <x:v>4.55</x:v>
      </x:c>
      <x:c r="E35" s="134" t="n">
        <x:f>C35/Assumptions!$C$28</x:f>
        <x:v>8.75</x:v>
      </x:c>
      <x:c r="F35" s="95" t="n">
        <x:f>ROUNDUP(D35,0)</x:f>
        <x:v>5</x:v>
      </x:c>
      <x:c r="G35" s="95" t="n">
        <x:f>ROUNDUP(E35,0)</x:f>
        <x:v>9</x:v>
      </x:c>
      <x:c r="H35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36">
      <x:c r="A36" s="133" t="n">
        <x:f>Revenue!A36</x:f>
        <x:v>47209</x:v>
      </x:c>
      <x:c r="B36" s="95" t="n">
        <x:f>Revenue!L36</x:f>
        <x:v>94</x:v>
      </x:c>
      <x:c r="C36" s="95" t="n">
        <x:f>Revenue!R36</x:f>
        <x:v>35</x:v>
      </x:c>
      <x:c r="D36" s="134" t="n">
        <x:f>B36/Assumptions!$C$27</x:f>
        <x:v>4.7</x:v>
      </x:c>
      <x:c r="E36" s="134" t="n">
        <x:f>C36/Assumptions!$C$28</x:f>
        <x:v>8.75</x:v>
      </x:c>
      <x:c r="F36" s="95" t="n">
        <x:f>ROUNDUP(D36,0)</x:f>
        <x:v>5</x:v>
      </x:c>
      <x:c r="G36" s="95" t="n">
        <x:f>ROUNDUP(E36,0)</x:f>
        <x:v>9</x:v>
      </x:c>
      <x:c r="H36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37">
      <x:c r="A37" s="133" t="n">
        <x:f>Revenue!A37</x:f>
        <x:v>47239</x:v>
      </x:c>
      <x:c r="B37" s="95" t="n">
        <x:f>Revenue!L37</x:f>
        <x:v>95</x:v>
      </x:c>
      <x:c r="C37" s="95" t="n">
        <x:f>Revenue!R37</x:f>
        <x:v>36</x:v>
      </x:c>
      <x:c r="D37" s="134" t="n">
        <x:f>B37/Assumptions!$C$27</x:f>
        <x:v>4.75</x:v>
      </x:c>
      <x:c r="E37" s="134" t="n">
        <x:f>C37/Assumptions!$C$28</x:f>
        <x:v>9</x:v>
      </x:c>
      <x:c r="F37" s="95" t="n">
        <x:f>ROUNDUP(D37,0)</x:f>
        <x:v>5</x:v>
      </x:c>
      <x:c r="G37" s="95" t="n">
        <x:f>ROUNDUP(E37,0)</x:f>
        <x:v>9</x:v>
      </x:c>
      <x:c r="H37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38">
      <x:c r="A38" s="133" t="n">
        <x:f>Revenue!A38</x:f>
        <x:v>47270</x:v>
      </x:c>
      <x:c r="B38" s="95" t="n">
        <x:f>Revenue!L38</x:f>
        <x:v>97</x:v>
      </x:c>
      <x:c r="C38" s="95" t="n">
        <x:f>Revenue!R38</x:f>
        <x:v>37</x:v>
      </x:c>
      <x:c r="D38" s="134" t="n">
        <x:f>B38/Assumptions!$C$27</x:f>
        <x:v>4.85</x:v>
      </x:c>
      <x:c r="E38" s="134" t="n">
        <x:f>C38/Assumptions!$C$28</x:f>
        <x:v>9.25</x:v>
      </x:c>
      <x:c r="F38" s="95" t="n">
        <x:f>ROUNDUP(D38,0)</x:f>
        <x:v>5</x:v>
      </x:c>
      <x:c r="G38" s="95" t="n">
        <x:f>ROUNDUP(E38,0)</x:f>
        <x:v>10</x:v>
      </x:c>
      <x:c r="H38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39">
      <x:c r="A39" s="133" t="n">
        <x:f>Revenue!A39</x:f>
        <x:v>47300</x:v>
      </x:c>
      <x:c r="B39" s="95" t="n">
        <x:f>Revenue!L39</x:f>
        <x:v>99</x:v>
      </x:c>
      <x:c r="C39" s="95" t="n">
        <x:f>Revenue!R39</x:f>
        <x:v>37</x:v>
      </x:c>
      <x:c r="D39" s="134" t="n">
        <x:f>B39/Assumptions!$C$27</x:f>
        <x:v>4.95</x:v>
      </x:c>
      <x:c r="E39" s="134" t="n">
        <x:f>C39/Assumptions!$C$28</x:f>
        <x:v>9.25</x:v>
      </x:c>
      <x:c r="F39" s="95" t="n">
        <x:f>ROUNDUP(D39,0)</x:f>
        <x:v>5</x:v>
      </x:c>
      <x:c r="G39" s="95" t="n">
        <x:f>ROUNDUP(E39,0)</x:f>
        <x:v>10</x:v>
      </x:c>
      <x:c r="H39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40">
      <x:c r="A40" s="133" t="n">
        <x:f>Revenue!A40</x:f>
        <x:v>47331</x:v>
      </x:c>
      <x:c r="B40" s="95" t="n">
        <x:f>Revenue!L40</x:f>
        <x:v>106</x:v>
      </x:c>
      <x:c r="C40" s="95" t="n">
        <x:f>Revenue!R40</x:f>
        <x:v>40</x:v>
      </x:c>
      <x:c r="D40" s="134" t="n">
        <x:f>B40/Assumptions!$C$27</x:f>
        <x:v>5.3</x:v>
      </x:c>
      <x:c r="E40" s="134" t="n">
        <x:f>C40/Assumptions!$C$28</x:f>
        <x:v>10</x:v>
      </x:c>
      <x:c r="F40" s="95" t="n">
        <x:f>ROUNDUP(D40,0)</x:f>
        <x:v>6</x:v>
      </x:c>
      <x:c r="G40" s="95" t="n">
        <x:f>ROUNDUP(E40,0)</x:f>
        <x:v>10</x:v>
      </x:c>
      <x:c r="H40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41">
      <x:c r="A41" s="133" t="n">
        <x:f>Revenue!A41</x:f>
        <x:v>47362</x:v>
      </x:c>
      <x:c r="B41" s="95" t="n">
        <x:f>Revenue!L41</x:f>
        <x:v>109</x:v>
      </x:c>
      <x:c r="C41" s="95" t="n">
        <x:f>Revenue!R41</x:f>
        <x:v>41</x:v>
      </x:c>
      <x:c r="D41" s="134" t="n">
        <x:f>B41/Assumptions!$C$27</x:f>
        <x:v>5.45</x:v>
      </x:c>
      <x:c r="E41" s="134" t="n">
        <x:f>C41/Assumptions!$C$28</x:f>
        <x:v>10.25</x:v>
      </x:c>
      <x:c r="F41" s="95" t="n">
        <x:f>ROUNDUP(D41,0)</x:f>
        <x:v>6</x:v>
      </x:c>
      <x:c r="G41" s="95" t="n">
        <x:f>ROUNDUP(E41,0)</x:f>
        <x:v>11</x:v>
      </x:c>
      <x:c r="H41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42">
      <x:c r="A42" s="133" t="n">
        <x:f>Revenue!A42</x:f>
        <x:v>47392</x:v>
      </x:c>
      <x:c r="B42" s="95" t="n">
        <x:f>Revenue!L42</x:f>
        <x:v>155</x:v>
      </x:c>
      <x:c r="C42" s="95" t="n">
        <x:f>Revenue!R42</x:f>
        <x:v>25</x:v>
      </x:c>
      <x:c r="D42" s="134" t="n">
        <x:f>B42/Assumptions!$C$27</x:f>
        <x:v>7.75</x:v>
      </x:c>
      <x:c r="E42" s="134" t="n">
        <x:f>C42/Assumptions!$C$28</x:f>
        <x:v>6.25</x:v>
      </x:c>
      <x:c r="F42" s="95" t="n">
        <x:f>ROUNDUP(D42,0)</x:f>
        <x:v>8</x:v>
      </x:c>
      <x:c r="G42" s="95" t="n">
        <x:f>ROUNDUP(E42,0)</x:f>
        <x:v>7</x:v>
      </x:c>
      <x:c r="H42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43">
      <x:c r="A43" s="133" t="n">
        <x:f>Revenue!A43</x:f>
        <x:v>47423</x:v>
      </x:c>
      <x:c r="B43" s="95" t="n">
        <x:f>Revenue!L43</x:f>
        <x:v>157</x:v>
      </x:c>
      <x:c r="C43" s="95" t="n">
        <x:f>Revenue!R43</x:f>
        <x:v>26</x:v>
      </x:c>
      <x:c r="D43" s="134" t="n">
        <x:f>B43/Assumptions!$C$27</x:f>
        <x:v>7.85</x:v>
      </x:c>
      <x:c r="E43" s="134" t="n">
        <x:f>C43/Assumptions!$C$28</x:f>
        <x:v>6.5</x:v>
      </x:c>
      <x:c r="F43" s="95" t="n">
        <x:f>ROUNDUP(D43,0)</x:f>
        <x:v>8</x:v>
      </x:c>
      <x:c r="G43" s="95" t="n">
        <x:f>ROUNDUP(E43,0)</x:f>
        <x:v>7</x:v>
      </x:c>
      <x:c r="H43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44">
      <x:c r="A44" s="133" t="n">
        <x:f>Revenue!A44</x:f>
        <x:v>47453</x:v>
      </x:c>
      <x:c r="B44" s="95" t="n">
        <x:f>Revenue!L44</x:f>
        <x:v>159</x:v>
      </x:c>
      <x:c r="C44" s="95" t="n">
        <x:f>Revenue!R44</x:f>
        <x:v>26</x:v>
      </x:c>
      <x:c r="D44" s="134" t="n">
        <x:f>B44/Assumptions!$C$27</x:f>
        <x:v>7.95</x:v>
      </x:c>
      <x:c r="E44" s="134" t="n">
        <x:f>C44/Assumptions!$C$28</x:f>
        <x:v>6.5</x:v>
      </x:c>
      <x:c r="F44" s="95" t="n">
        <x:f>ROUNDUP(D44,0)</x:f>
        <x:v>8</x:v>
      </x:c>
      <x:c r="G44" s="95" t="n">
        <x:f>ROUNDUP(E44,0)</x:f>
        <x:v>7</x:v>
      </x:c>
      <x:c r="H44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45">
      <x:c r="A45" s="133" t="n">
        <x:f>Revenue!A45</x:f>
        <x:v>47484</x:v>
      </x:c>
      <x:c r="B45" s="95" t="n">
        <x:f>Revenue!L45</x:f>
        <x:v>163</x:v>
      </x:c>
      <x:c r="C45" s="95" t="n">
        <x:f>Revenue!R45</x:f>
        <x:v>27</x:v>
      </x:c>
      <x:c r="D45" s="134" t="n">
        <x:f>B45/Assumptions!$C$27</x:f>
        <x:v>8.15</x:v>
      </x:c>
      <x:c r="E45" s="134" t="n">
        <x:f>C45/Assumptions!$C$28</x:f>
        <x:v>6.75</x:v>
      </x:c>
      <x:c r="F45" s="95" t="n">
        <x:f>ROUNDUP(D45,0)</x:f>
        <x:v>9</x:v>
      </x:c>
      <x:c r="G45" s="95" t="n">
        <x:f>ROUNDUP(E45,0)</x:f>
        <x:v>7</x:v>
      </x:c>
      <x:c r="H45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46">
      <x:c r="A46" s="133" t="n">
        <x:f>Revenue!A46</x:f>
        <x:v>47515</x:v>
      </x:c>
      <x:c r="B46" s="95" t="n">
        <x:f>Revenue!L46</x:f>
        <x:v>165</x:v>
      </x:c>
      <x:c r="C46" s="95" t="n">
        <x:f>Revenue!R46</x:f>
        <x:v>27</x:v>
      </x:c>
      <x:c r="D46" s="134" t="n">
        <x:f>B46/Assumptions!$C$27</x:f>
        <x:v>8.25</x:v>
      </x:c>
      <x:c r="E46" s="134" t="n">
        <x:f>C46/Assumptions!$C$28</x:f>
        <x:v>6.75</x:v>
      </x:c>
      <x:c r="F46" s="95" t="n">
        <x:f>ROUNDUP(D46,0)</x:f>
        <x:v>9</x:v>
      </x:c>
      <x:c r="G46" s="95" t="n">
        <x:f>ROUNDUP(E46,0)</x:f>
        <x:v>7</x:v>
      </x:c>
      <x:c r="H46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47">
      <x:c r="A47" s="133" t="n">
        <x:f>Revenue!A47</x:f>
        <x:v>47543</x:v>
      </x:c>
      <x:c r="B47" s="95" t="n">
        <x:f>Revenue!L47</x:f>
        <x:v>167</x:v>
      </x:c>
      <x:c r="C47" s="95" t="n">
        <x:f>Revenue!R47</x:f>
        <x:v>27</x:v>
      </x:c>
      <x:c r="D47" s="134" t="n">
        <x:f>B47/Assumptions!$C$27</x:f>
        <x:v>8.35</x:v>
      </x:c>
      <x:c r="E47" s="134" t="n">
        <x:f>C47/Assumptions!$C$28</x:f>
        <x:v>6.75</x:v>
      </x:c>
      <x:c r="F47" s="95" t="n">
        <x:f>ROUNDUP(D47,0)</x:f>
        <x:v>9</x:v>
      </x:c>
      <x:c r="G47" s="95" t="n">
        <x:f>ROUNDUP(E47,0)</x:f>
        <x:v>7</x:v>
      </x:c>
      <x:c r="H47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48">
      <x:c r="A48" s="133" t="n">
        <x:f>Revenue!A48</x:f>
        <x:v>47574</x:v>
      </x:c>
      <x:c r="B48" s="95" t="n">
        <x:f>Revenue!L48</x:f>
        <x:v>171</x:v>
      </x:c>
      <x:c r="C48" s="95" t="n">
        <x:f>Revenue!R48</x:f>
        <x:v>28</x:v>
      </x:c>
      <x:c r="D48" s="134" t="n">
        <x:f>B48/Assumptions!$C$27</x:f>
        <x:v>8.55</x:v>
      </x:c>
      <x:c r="E48" s="134" t="n">
        <x:f>C48/Assumptions!$C$28</x:f>
        <x:v>7</x:v>
      </x:c>
      <x:c r="F48" s="95" t="n">
        <x:f>ROUNDUP(D48,0)</x:f>
        <x:v>9</x:v>
      </x:c>
      <x:c r="G48" s="95" t="n">
        <x:f>ROUNDUP(E48,0)</x:f>
        <x:v>7</x:v>
      </x:c>
      <x:c r="H48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49">
      <x:c r="A49" s="133" t="n">
        <x:f>Revenue!A49</x:f>
        <x:v>47604</x:v>
      </x:c>
      <x:c r="B49" s="95" t="n">
        <x:f>Revenue!L49</x:f>
        <x:v>173</x:v>
      </x:c>
      <x:c r="C49" s="95" t="n">
        <x:f>Revenue!R49</x:f>
        <x:v>28</x:v>
      </x:c>
      <x:c r="D49" s="134" t="n">
        <x:f>B49/Assumptions!$C$27</x:f>
        <x:v>8.65</x:v>
      </x:c>
      <x:c r="E49" s="134" t="n">
        <x:f>C49/Assumptions!$C$28</x:f>
        <x:v>7</x:v>
      </x:c>
      <x:c r="F49" s="95" t="n">
        <x:f>ROUNDUP(D49,0)</x:f>
        <x:v>9</x:v>
      </x:c>
      <x:c r="G49" s="95" t="n">
        <x:f>ROUNDUP(E49,0)</x:f>
        <x:v>7</x:v>
      </x:c>
      <x:c r="H49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50">
      <x:c r="A50" s="133" t="n">
        <x:f>Revenue!A50</x:f>
        <x:v>47635</x:v>
      </x:c>
      <x:c r="B50" s="95" t="n">
        <x:f>Revenue!L50</x:f>
        <x:v>177</x:v>
      </x:c>
      <x:c r="C50" s="95" t="n">
        <x:f>Revenue!R50</x:f>
        <x:v>29</x:v>
      </x:c>
      <x:c r="D50" s="134" t="n">
        <x:f>B50/Assumptions!$C$27</x:f>
        <x:v>8.85</x:v>
      </x:c>
      <x:c r="E50" s="134" t="n">
        <x:f>C50/Assumptions!$C$28</x:f>
        <x:v>7.25</x:v>
      </x:c>
      <x:c r="F50" s="95" t="n">
        <x:f>ROUNDUP(D50,0)</x:f>
        <x:v>9</x:v>
      </x:c>
      <x:c r="G50" s="95" t="n">
        <x:f>ROUNDUP(E50,0)</x:f>
        <x:v>8</x:v>
      </x:c>
      <x:c r="H50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51">
      <x:c r="A51" s="133" t="n">
        <x:f>Revenue!A51</x:f>
        <x:v>47665</x:v>
      </x:c>
      <x:c r="B51" s="95" t="n">
        <x:f>Revenue!L51</x:f>
        <x:v>181</x:v>
      </x:c>
      <x:c r="C51" s="95" t="n">
        <x:f>Revenue!R51</x:f>
        <x:v>30</x:v>
      </x:c>
      <x:c r="D51" s="134" t="n">
        <x:f>B51/Assumptions!$C$27</x:f>
        <x:v>9.05</x:v>
      </x:c>
      <x:c r="E51" s="134" t="n">
        <x:f>C51/Assumptions!$C$28</x:f>
        <x:v>7.5</x:v>
      </x:c>
      <x:c r="F51" s="95" t="n">
        <x:f>ROUNDUP(D51,0)</x:f>
        <x:v>10</x:v>
      </x:c>
      <x:c r="G51" s="95" t="n">
        <x:f>ROUNDUP(E51,0)</x:f>
        <x:v>8</x:v>
      </x:c>
      <x:c r="H51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52">
      <x:c r="A52" s="133" t="n">
        <x:f>Revenue!A52</x:f>
        <x:v>47696</x:v>
      </x:c>
      <x:c r="B52" s="95" t="n">
        <x:f>Revenue!L52</x:f>
        <x:v>194</x:v>
      </x:c>
      <x:c r="C52" s="95" t="n">
        <x:f>Revenue!R52</x:f>
        <x:v>32</x:v>
      </x:c>
      <x:c r="D52" s="134" t="n">
        <x:f>B52/Assumptions!$C$27</x:f>
        <x:v>9.7</x:v>
      </x:c>
      <x:c r="E52" s="134" t="n">
        <x:f>C52/Assumptions!$C$28</x:f>
        <x:v>8</x:v>
      </x:c>
      <x:c r="F52" s="95" t="n">
        <x:f>ROUNDUP(D52,0)</x:f>
        <x:v>10</x:v>
      </x:c>
      <x:c r="G52" s="95" t="n">
        <x:f>ROUNDUP(E52,0)</x:f>
        <x:v>8</x:v>
      </x:c>
      <x:c r="H52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53">
      <x:c r="A53" s="133" t="n">
        <x:f>Revenue!A53</x:f>
        <x:v>47727</x:v>
      </x:c>
      <x:c r="B53" s="95" t="n">
        <x:f>Revenue!L53</x:f>
        <x:v>200</x:v>
      </x:c>
      <x:c r="C53" s="95" t="n">
        <x:f>Revenue!R53</x:f>
        <x:v>33</x:v>
      </x:c>
      <x:c r="D53" s="134" t="n">
        <x:f>B53/Assumptions!$C$27</x:f>
        <x:v>10</x:v>
      </x:c>
      <x:c r="E53" s="134" t="n">
        <x:f>C53/Assumptions!$C$28</x:f>
        <x:v>8.25</x:v>
      </x:c>
      <x:c r="F53" s="95" t="n">
        <x:f>ROUNDUP(D53,0)</x:f>
        <x:v>10</x:v>
      </x:c>
      <x:c r="G53" s="95" t="n">
        <x:f>ROUNDUP(E53,0)</x:f>
        <x:v>9</x:v>
      </x:c>
      <x:c r="H53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54">
      <x:c r="A54" s="133" t="n">
        <x:f>Revenue!A54</x:f>
        <x:v>47757</x:v>
      </x:c>
      <x:c r="B54" s="95" t="n">
        <x:f>Revenue!L54</x:f>
        <x:v>272</x:v>
      </x:c>
      <x:c r="C54" s="95" t="n">
        <x:f>Revenue!R54</x:f>
        <x:v>14</x:v>
      </x:c>
      <x:c r="D54" s="134" t="n">
        <x:f>B54/Assumptions!$C$27</x:f>
        <x:v>13.6</x:v>
      </x:c>
      <x:c r="E54" s="134" t="n">
        <x:f>C54/Assumptions!$C$28</x:f>
        <x:v>3.5</x:v>
      </x:c>
      <x:c r="F54" s="95" t="n">
        <x:f>ROUNDUP(D54,0)</x:f>
        <x:v>14</x:v>
      </x:c>
      <x:c r="G54" s="95" t="n">
        <x:f>ROUNDUP(E54,0)</x:f>
        <x:v>4</x:v>
      </x:c>
      <x:c r="H54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55">
      <x:c r="A55" s="133" t="n">
        <x:f>Revenue!A55</x:f>
        <x:v>47788</x:v>
      </x:c>
      <x:c r="B55" s="95" t="n">
        <x:f>Revenue!L55</x:f>
        <x:v>276</x:v>
      </x:c>
      <x:c r="C55" s="95" t="n">
        <x:f>Revenue!R55</x:f>
        <x:v>14</x:v>
      </x:c>
      <x:c r="D55" s="134" t="n">
        <x:f>B55/Assumptions!$C$27</x:f>
        <x:v>13.8</x:v>
      </x:c>
      <x:c r="E55" s="134" t="n">
        <x:f>C55/Assumptions!$C$28</x:f>
        <x:v>3.5</x:v>
      </x:c>
      <x:c r="F55" s="95" t="n">
        <x:f>ROUNDUP(D55,0)</x:f>
        <x:v>14</x:v>
      </x:c>
      <x:c r="G55" s="95" t="n">
        <x:f>ROUNDUP(E55,0)</x:f>
        <x:v>4</x:v>
      </x:c>
      <x:c r="H55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56">
      <x:c r="A56" s="133" t="n">
        <x:f>Revenue!A56</x:f>
        <x:v>47818</x:v>
      </x:c>
      <x:c r="B56" s="95" t="n">
        <x:f>Revenue!L56</x:f>
        <x:v>279</x:v>
      </x:c>
      <x:c r="C56" s="95" t="n">
        <x:f>Revenue!R56</x:f>
        <x:v>14</x:v>
      </x:c>
      <x:c r="D56" s="134" t="n">
        <x:f>B56/Assumptions!$C$27</x:f>
        <x:v>13.95</x:v>
      </x:c>
      <x:c r="E56" s="134" t="n">
        <x:f>C56/Assumptions!$C$28</x:f>
        <x:v>3.5</x:v>
      </x:c>
      <x:c r="F56" s="95" t="n">
        <x:f>ROUNDUP(D56,0)</x:f>
        <x:v>14</x:v>
      </x:c>
      <x:c r="G56" s="95" t="n">
        <x:f>ROUNDUP(E56,0)</x:f>
        <x:v>4</x:v>
      </x:c>
      <x:c r="H56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57">
      <x:c r="A57" s="133" t="n">
        <x:f>Revenue!A57</x:f>
        <x:v>47849</x:v>
      </x:c>
      <x:c r="B57" s="95" t="n">
        <x:f>Revenue!L57</x:f>
        <x:v>287</x:v>
      </x:c>
      <x:c r="C57" s="95" t="n">
        <x:f>Revenue!R57</x:f>
        <x:v>15</x:v>
      </x:c>
      <x:c r="D57" s="134" t="n">
        <x:f>B57/Assumptions!$C$27</x:f>
        <x:v>14.35</x:v>
      </x:c>
      <x:c r="E57" s="134" t="n">
        <x:f>C57/Assumptions!$C$28</x:f>
        <x:v>3.75</x:v>
      </x:c>
      <x:c r="F57" s="95" t="n">
        <x:f>ROUNDUP(D57,0)</x:f>
        <x:v>15</x:v>
      </x:c>
      <x:c r="G57" s="95" t="n">
        <x:f>ROUNDUP(E57,0)</x:f>
        <x:v>4</x:v>
      </x:c>
      <x:c r="H57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58">
      <x:c r="A58" s="133" t="n">
        <x:f>Revenue!A58</x:f>
        <x:v>47880</x:v>
      </x:c>
      <x:c r="B58" s="95" t="n">
        <x:f>Revenue!L58</x:f>
        <x:v>290</x:v>
      </x:c>
      <x:c r="C58" s="95" t="n">
        <x:f>Revenue!R58</x:f>
        <x:v>15</x:v>
      </x:c>
      <x:c r="D58" s="134" t="n">
        <x:f>B58/Assumptions!$C$27</x:f>
        <x:v>14.5</x:v>
      </x:c>
      <x:c r="E58" s="134" t="n">
        <x:f>C58/Assumptions!$C$28</x:f>
        <x:v>3.75</x:v>
      </x:c>
      <x:c r="F58" s="95" t="n">
        <x:f>ROUNDUP(D58,0)</x:f>
        <x:v>15</x:v>
      </x:c>
      <x:c r="G58" s="95" t="n">
        <x:f>ROUNDUP(E58,0)</x:f>
        <x:v>4</x:v>
      </x:c>
      <x:c r="H58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59">
      <x:c r="A59" s="133" t="n">
        <x:f>Revenue!A59</x:f>
        <x:v>47908</x:v>
      </x:c>
      <x:c r="B59" s="95" t="n">
        <x:f>Revenue!L59</x:f>
        <x:v>294</x:v>
      </x:c>
      <x:c r="C59" s="95" t="n">
        <x:f>Revenue!R59</x:f>
        <x:v>15</x:v>
      </x:c>
      <x:c r="D59" s="134" t="n">
        <x:f>B59/Assumptions!$C$27</x:f>
        <x:v>14.7</x:v>
      </x:c>
      <x:c r="E59" s="134" t="n">
        <x:f>C59/Assumptions!$C$28</x:f>
        <x:v>3.75</x:v>
      </x:c>
      <x:c r="F59" s="95" t="n">
        <x:f>ROUNDUP(D59,0)</x:f>
        <x:v>15</x:v>
      </x:c>
      <x:c r="G59" s="95" t="n">
        <x:f>ROUNDUP(E59,0)</x:f>
        <x:v>4</x:v>
      </x:c>
      <x:c r="H59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60">
      <x:c r="A60" s="133" t="n">
        <x:f>Revenue!A60</x:f>
        <x:v>47939</x:v>
      </x:c>
      <x:c r="B60" s="95" t="n">
        <x:f>Revenue!L60</x:f>
        <x:v>301</x:v>
      </x:c>
      <x:c r="C60" s="95" t="n">
        <x:f>Revenue!R60</x:f>
        <x:v>16</x:v>
      </x:c>
      <x:c r="D60" s="134" t="n">
        <x:f>B60/Assumptions!$C$27</x:f>
        <x:v>15.05</x:v>
      </x:c>
      <x:c r="E60" s="134" t="n">
        <x:f>C60/Assumptions!$C$28</x:f>
        <x:v>4</x:v>
      </x:c>
      <x:c r="F60" s="95" t="n">
        <x:f>ROUNDUP(D60,0)</x:f>
        <x:v>16</x:v>
      </x:c>
      <x:c r="G60" s="95" t="n">
        <x:f>ROUNDUP(E60,0)</x:f>
        <x:v>4</x:v>
      </x:c>
      <x:c r="H60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61">
      <x:c r="A61" s="133" t="n">
        <x:f>Revenue!A61</x:f>
        <x:v>47969</x:v>
      </x:c>
      <x:c r="B61" s="95" t="n">
        <x:f>Revenue!L61</x:f>
        <x:v>305</x:v>
      </x:c>
      <x:c r="C61" s="95" t="n">
        <x:f>Revenue!R61</x:f>
        <x:v>16</x:v>
      </x:c>
      <x:c r="D61" s="134" t="n">
        <x:f>B61/Assumptions!$C$27</x:f>
        <x:v>15.25</x:v>
      </x:c>
      <x:c r="E61" s="134" t="n">
        <x:f>C61/Assumptions!$C$28</x:f>
        <x:v>4</x:v>
      </x:c>
      <x:c r="F61" s="95" t="n">
        <x:f>ROUNDUP(D61,0)</x:f>
        <x:v>16</x:v>
      </x:c>
      <x:c r="G61" s="95" t="n">
        <x:f>ROUNDUP(E61,0)</x:f>
        <x:v>4</x:v>
      </x:c>
      <x:c r="H61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62">
      <x:c r="A62" s="133" t="n">
        <x:f>Revenue!A62</x:f>
        <x:v>48000</x:v>
      </x:c>
      <x:c r="B62" s="95" t="n">
        <x:f>Revenue!L62</x:f>
        <x:v>312</x:v>
      </x:c>
      <x:c r="C62" s="95" t="n">
        <x:f>Revenue!R62</x:f>
        <x:v>16</x:v>
      </x:c>
      <x:c r="D62" s="134" t="n">
        <x:f>B62/Assumptions!$C$27</x:f>
        <x:v>15.6</x:v>
      </x:c>
      <x:c r="E62" s="134" t="n">
        <x:f>C62/Assumptions!$C$28</x:f>
        <x:v>4</x:v>
      </x:c>
      <x:c r="F62" s="95" t="n">
        <x:f>ROUNDUP(D62,0)</x:f>
        <x:v>16</x:v>
      </x:c>
      <x:c r="G62" s="95" t="n">
        <x:f>ROUNDUP(E62,0)</x:f>
        <x:v>4</x:v>
      </x:c>
      <x:c r="H62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63">
      <x:c r="A63" s="133" t="n">
        <x:f>Revenue!A63</x:f>
        <x:v>48030</x:v>
      </x:c>
      <x:c r="B63" s="95" t="n">
        <x:f>Revenue!L63</x:f>
        <x:v>319</x:v>
      </x:c>
      <x:c r="C63" s="95" t="n">
        <x:f>Revenue!R63</x:f>
        <x:v>16</x:v>
      </x:c>
      <x:c r="D63" s="134" t="n">
        <x:f>B63/Assumptions!$C$27</x:f>
        <x:v>15.95</x:v>
      </x:c>
      <x:c r="E63" s="134" t="n">
        <x:f>C63/Assumptions!$C$28</x:f>
        <x:v>4</x:v>
      </x:c>
      <x:c r="F63" s="95" t="n">
        <x:f>ROUNDUP(D63,0)</x:f>
        <x:v>16</x:v>
      </x:c>
      <x:c r="G63" s="95" t="n">
        <x:f>ROUNDUP(E63,0)</x:f>
        <x:v>4</x:v>
      </x:c>
      <x:c r="H63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64">
      <x:c r="A64" s="133" t="n">
        <x:f>Revenue!A64</x:f>
        <x:v>48061</x:v>
      </x:c>
      <x:c r="B64" s="95" t="n">
        <x:f>Revenue!L64</x:f>
        <x:v>341</x:v>
      </x:c>
      <x:c r="C64" s="95" t="n">
        <x:f>Revenue!R64</x:f>
        <x:v>18</x:v>
      </x:c>
      <x:c r="D64" s="134" t="n">
        <x:f>B64/Assumptions!$C$27</x:f>
        <x:v>17.05</x:v>
      </x:c>
      <x:c r="E64" s="134" t="n">
        <x:f>C64/Assumptions!$C$28</x:f>
        <x:v>4.5</x:v>
      </x:c>
      <x:c r="F64" s="95" t="n">
        <x:f>ROUNDUP(D64,0)</x:f>
        <x:v>18</x:v>
      </x:c>
      <x:c r="G64" s="95" t="n">
        <x:f>ROUNDUP(E64,0)</x:f>
        <x:v>5</x:v>
      </x:c>
      <x:c r="H64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65">
      <x:c r="A65" s="133" t="n">
        <x:f>Revenue!A65</x:f>
        <x:v>48092</x:v>
      </x:c>
      <x:c r="B65" s="95" t="n">
        <x:f>Revenue!L65</x:f>
        <x:v>352</x:v>
      </x:c>
      <x:c r="C65" s="95" t="n">
        <x:f>Revenue!R65</x:f>
        <x:v>18</x:v>
      </x:c>
      <x:c r="D65" s="134" t="n">
        <x:f>B65/Assumptions!$C$27</x:f>
        <x:v>17.6</x:v>
      </x:c>
      <x:c r="E65" s="134" t="n">
        <x:f>C65/Assumptions!$C$28</x:f>
        <x:v>4.5</x:v>
      </x:c>
      <x:c r="F65" s="95" t="n">
        <x:f>ROUNDUP(D65,0)</x:f>
        <x:v>18</x:v>
      </x:c>
      <x:c r="G65" s="95" t="n">
        <x:f>ROUNDUP(E65,0)</x:f>
        <x:v>5</x:v>
      </x:c>
      <x:c r="H65" s="26" t="str">
        <x:f>"Норматив: "&amp;TEXT(Assumptions!$C$27,"0")&amp;" клиентов на ассистента и "&amp;TEXT(Assumptions!$C$28,"0")&amp;" объекта на РП"</x:f>
        <x:v>Норматив: 20 клиентов на ассистента и 4 объекта на РП</x:v>
      </x:c>
    </x:row>
    <x:row r="66">
      <x:c r="A66" s="48"/>
      <x:c r="B66" s="48"/>
      <x:c r="C66" s="48"/>
      <x:c r="D66" s="48"/>
      <x:c r="E66" s="48"/>
      <x:c r="F66" s="48"/>
      <x:c r="G66" s="48"/>
      <x:c r="H66" s="48"/>
    </x:row>
    <x:row r="67">
      <x:c r="A67" s="48"/>
      <x:c r="B67" s="48"/>
      <x:c r="C67" s="48"/>
      <x:c r="D67" s="48"/>
      <x:c r="E67" s="48"/>
      <x:c r="F67" s="48"/>
      <x:c r="G67" s="48"/>
      <x:c r="H67" s="48"/>
    </x:row>
    <x:row r="68" ht="24" customHeight="1">
      <x:c r="A68" s="37" t="str">
        <x:v>Пиковая потребность по годам</x:v>
      </x:c>
      <x:c r="B68" s="37"/>
      <x:c r="C68" s="37"/>
      <x:c r="D68" s="37"/>
      <x:c r="E68" s="37"/>
      <x:c r="F68" s="37"/>
      <x:c r="G68" s="37"/>
      <x:c r="H68" s="37"/>
    </x:row>
    <x:row r="69" ht="28" customHeight="1">
      <x:c r="A69" s="18" t="str">
        <x:v>Год</x:v>
      </x:c>
      <x:c r="B69" s="18" t="str">
        <x:v>Максимум активных подписчиков</x:v>
      </x:c>
      <x:c r="C69" s="18" t="str">
        <x:v>Максимум активных объектов</x:v>
      </x:c>
      <x:c r="D69" s="18" t="str">
        <x:v>Ассистенты в пике</x:v>
      </x:c>
      <x:c r="E69" s="18" t="str">
        <x:v>Руководители проектов в пике</x:v>
      </x:c>
      <x:c r="F69" s="48"/>
      <x:c r="G69" s="48"/>
      <x:c r="H69" s="48"/>
    </x:row>
    <x:row r="70" ht="46" customHeight="1">
      <x:c r="A70" s="22" t="str">
        <x:v>Номер года модели</x:v>
      </x:c>
      <x:c r="B70" s="22" t="str">
        <x:v>Самый загруженный месяц года</x:v>
      </x:c>
      <x:c r="C70" s="22" t="str">
        <x:v>Самый загруженный месяц года</x:v>
      </x:c>
      <x:c r="D70" s="22" t="str">
        <x:v>Максимальный штат ассистентов</x:v>
      </x:c>
      <x:c r="E70" s="22" t="str">
        <x:v>Максимальный штат РП</x:v>
      </x:c>
      <x:c r="F70" s="48"/>
      <x:c r="G70" s="48"/>
      <x:c r="H70" s="48"/>
    </x:row>
    <x:row r="71">
      <x:c r="A71" s="57" t="str">
        <x:v>Год 1</x:v>
      </x:c>
      <x:c r="B71" s="59" t="n">
        <x:f>MAX(B6:B17)</x:f>
        <x:v>34</x:v>
      </x:c>
      <x:c r="C71" s="59" t="n">
        <x:f>MAX(C6:C17)</x:f>
        <x:v>36</x:v>
      </x:c>
      <x:c r="D71" s="59" t="n">
        <x:f>MAX(F6:F17)</x:f>
        <x:v>2</x:v>
      </x:c>
      <x:c r="E71" s="59" t="n">
        <x:f>MAX(G6:G17)</x:f>
        <x:v>9</x:v>
      </x:c>
      <x:c r="F71" s="48"/>
      <x:c r="G71" s="48"/>
      <x:c r="H71" s="48"/>
    </x:row>
    <x:row r="72">
      <x:c r="A72" s="57" t="str">
        <x:v>Год 2</x:v>
      </x:c>
      <x:c r="B72" s="59" t="n">
        <x:f>MAX(B18:B29)</x:f>
        <x:v>62</x:v>
      </x:c>
      <x:c r="C72" s="59" t="n">
        <x:f>MAX(C18:C29)</x:f>
        <x:v>43</x:v>
      </x:c>
      <x:c r="D72" s="59" t="n">
        <x:f>MAX(F18:F29)</x:f>
        <x:v>4</x:v>
      </x:c>
      <x:c r="E72" s="59" t="n">
        <x:f>MAX(G18:G29)</x:f>
        <x:v>11</x:v>
      </x:c>
      <x:c r="F72" s="48"/>
      <x:c r="G72" s="48"/>
      <x:c r="H72" s="48"/>
    </x:row>
    <x:row r="73">
      <x:c r="A73" s="57" t="str">
        <x:v>Год 3</x:v>
      </x:c>
      <x:c r="B73" s="59" t="n">
        <x:f>MAX(B30:B41)</x:f>
        <x:v>109</x:v>
      </x:c>
      <x:c r="C73" s="59" t="n">
        <x:f>MAX(C30:C41)</x:f>
        <x:v>41</x:v>
      </x:c>
      <x:c r="D73" s="59" t="n">
        <x:f>MAX(F30:F41)</x:f>
        <x:v>6</x:v>
      </x:c>
      <x:c r="E73" s="59" t="n">
        <x:f>MAX(G30:G41)</x:f>
        <x:v>11</x:v>
      </x:c>
      <x:c r="F73" s="48"/>
      <x:c r="G73" s="48"/>
      <x:c r="H73" s="48"/>
    </x:row>
    <x:row r="74">
      <x:c r="A74" s="57" t="str">
        <x:v>Год 4</x:v>
      </x:c>
      <x:c r="B74" s="59" t="n">
        <x:f>MAX(B42:B53)</x:f>
        <x:v>200</x:v>
      </x:c>
      <x:c r="C74" s="59" t="n">
        <x:f>MAX(C42:C53)</x:f>
        <x:v>33</x:v>
      </x:c>
      <x:c r="D74" s="59" t="n">
        <x:f>MAX(F42:F53)</x:f>
        <x:v>10</x:v>
      </x:c>
      <x:c r="E74" s="59" t="n">
        <x:f>MAX(G42:G53)</x:f>
        <x:v>9</x:v>
      </x:c>
      <x:c r="F74" s="48"/>
      <x:c r="G74" s="48"/>
      <x:c r="H74" s="48"/>
    </x:row>
    <x:row r="75">
      <x:c r="A75" s="57" t="str">
        <x:v>Год 5</x:v>
      </x:c>
      <x:c r="B75" s="59" t="n">
        <x:f>MAX(B54:B65)</x:f>
        <x:v>352</x:v>
      </x:c>
      <x:c r="C75" s="59" t="n">
        <x:f>MAX(C54:C65)</x:f>
        <x:v>18</x:v>
      </x:c>
      <x:c r="D75" s="59" t="n">
        <x:f>MAX(F54:F65)</x:f>
        <x:v>18</x:v>
      </x:c>
      <x:c r="E75" s="59" t="n">
        <x:f>MAX(G54:G65)</x:f>
        <x:v>5</x:v>
      </x:c>
      <x:c r="F75" s="48"/>
      <x:c r="G75" s="48"/>
      <x:c r="H75" s="48"/>
    </x:row>
  </x:sheetData>
  <x:mergeCells>
    <x:mergeCell ref="A1:H1"/>
    <x:mergeCell ref="A2:H2"/>
    <x:mergeCell ref="A68:H68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48" hidden="0" customWidth="1"/>
  </x:cols>
  <x:sheetData>
    <x:row r="1" ht="32" customHeight="1">
      <x:c r="A1" s="45" t="str">
        <x:v>Чувствительность EBITDA первого года</x:v>
      </x:c>
      <x:c r="B1" s="45"/>
      <x:c r="C1" s="45"/>
      <x:c r="D1" s="45"/>
      <x:c r="E1" s="45"/>
      <x:c r="F1" s="45"/>
      <x:c r="G1" s="45"/>
    </x:row>
    <x:row r="2" ht="34" customHeight="1">
      <x:c r="A2" s="7" t="str">
        <x:v>Таблица показывает, как EBITDA базового сценария меняется при другой стоимости привлечения и себестоимости сопровождения ремонта. Красные значения означают убыток.</x:v>
      </x:c>
      <x:c r="B2" s="7"/>
      <x:c r="C2" s="7"/>
      <x:c r="D2" s="7"/>
      <x:c r="E2" s="7"/>
      <x:c r="F2" s="7"/>
      <x:c r="G2" s="7"/>
    </x:row>
    <x:row r="3">
      <x:c r="A3" s="48"/>
      <x:c r="B3" s="48"/>
      <x:c r="C3" s="48"/>
      <x:c r="D3" s="48"/>
      <x:c r="E3" s="48"/>
      <x:c r="F3" s="48"/>
      <x:c r="G3" s="48"/>
    </x:row>
    <x:row r="4" ht="28" customHeight="1">
      <x:c r="A4" s="18" t="str">
        <x:v>Стоимость потенциального клиента / себестоимость сопровождения</x:v>
      </x:c>
      <x:c r="B4" s="276" t="n">
        <x:v>0.3</x:v>
      </x:c>
      <x:c r="C4" s="276" t="n">
        <x:v>0.35</x:v>
      </x:c>
      <x:c r="D4" s="276" t="n">
        <x:v>0.4</x:v>
      </x:c>
      <x:c r="E4" s="276" t="n">
        <x:v>0.45</x:v>
      </x:c>
      <x:c r="F4" s="276" t="n">
        <x:v>0.5</x:v>
      </x:c>
      <x:c r="G4" s="18" t="str">
        <x:v>Расшифровка</x:v>
      </x:c>
    </x:row>
    <x:row r="5" ht="46" customHeight="1">
      <x:c r="A5" s="22" t="str">
        <x:v>Строки — стоимость привлечения одного человека с подтверждённым интересом; столбцы — доля прямых затрат в выручке сопровождения</x:v>
      </x:c>
      <x:c r="B5" s="22" t="str">
        <x:v>30% выручки</x:v>
      </x:c>
      <x:c r="C5" s="22" t="str">
        <x:v>35% выручки</x:v>
      </x:c>
      <x:c r="D5" s="22" t="str">
        <x:v>40% выручки</x:v>
      </x:c>
      <x:c r="E5" s="22" t="str">
        <x:v>45% выручки</x:v>
      </x:c>
      <x:c r="F5" s="22" t="str">
        <x:v>50% выручки</x:v>
      </x:c>
      <x:c r="G5" s="22" t="str">
        <x:v>Пересечение стоимости привлечения и доли себестоимости</x:v>
      </x:c>
    </x:row>
    <x:row r="6">
      <x:c r="A6" s="58" t="n">
        <x:v>6000</x:v>
      </x:c>
      <x:c r="B6" s="58" t="n">
        <x:f>Assumptions!$E$35-Assumptions!$E$35*(Assumptions!$B$51*Assumptions!$E$21+Assumptions!$B$52*Assumptions!$E$21+Assumptions!$B$53*Assumptions!$E$22+Assumptions!$B$54*Assumptions!$E$23+Assumptions!$B$55*Assumptions!$E$21+Assumptions!$B$56*Assumptions!$E$24+Assumptions!$B$57*B$4+Assumptions!$B$58*Assumptions!$E$26)-(Assumptions!$E$35/Assumptions!$E$18)*Assumptions!$B$65*$A6-12*(Assumptions!$E$29+Assumptions!$E$30+Assumptions!$E$31+Assumptions!$E$32)</x:f>
        <x:v>33742500</x:v>
      </x:c>
      <x:c r="C6" s="58" t="n">
        <x:f>Assumptions!$E$35-Assumptions!$E$35*(Assumptions!$B$51*Assumptions!$E$21+Assumptions!$B$52*Assumptions!$E$21+Assumptions!$B$53*Assumptions!$E$22+Assumptions!$B$54*Assumptions!$E$23+Assumptions!$B$55*Assumptions!$E$21+Assumptions!$B$56*Assumptions!$E$24+Assumptions!$B$57*C$4+Assumptions!$B$58*Assumptions!$E$26)-(Assumptions!$E$35/Assumptions!$E$18)*Assumptions!$B$65*$A6-12*(Assumptions!$E$29+Assumptions!$E$30+Assumptions!$E$31+Assumptions!$E$32)</x:f>
        <x:v>32280000</x:v>
      </x:c>
      <x:c r="D6" s="58" t="n">
        <x:f>Assumptions!$E$35-Assumptions!$E$35*(Assumptions!$B$51*Assumptions!$E$21+Assumptions!$B$52*Assumptions!$E$21+Assumptions!$B$53*Assumptions!$E$22+Assumptions!$B$54*Assumptions!$E$23+Assumptions!$B$55*Assumptions!$E$21+Assumptions!$B$56*Assumptions!$E$24+Assumptions!$B$57*D$4+Assumptions!$B$58*Assumptions!$E$26)-(Assumptions!$E$35/Assumptions!$E$18)*Assumptions!$B$65*$A6-12*(Assumptions!$E$29+Assumptions!$E$30+Assumptions!$E$31+Assumptions!$E$32)</x:f>
        <x:v>30817500</x:v>
      </x:c>
      <x:c r="E6" s="58" t="n">
        <x:f>Assumptions!$E$35-Assumptions!$E$35*(Assumptions!$B$51*Assumptions!$E$21+Assumptions!$B$52*Assumptions!$E$21+Assumptions!$B$53*Assumptions!$E$22+Assumptions!$B$54*Assumptions!$E$23+Assumptions!$B$55*Assumptions!$E$21+Assumptions!$B$56*Assumptions!$E$24+Assumptions!$B$57*E$4+Assumptions!$B$58*Assumptions!$E$26)-(Assumptions!$E$35/Assumptions!$E$18)*Assumptions!$B$65*$A6-12*(Assumptions!$E$29+Assumptions!$E$30+Assumptions!$E$31+Assumptions!$E$32)</x:f>
        <x:v>29355000</x:v>
      </x:c>
      <x:c r="F6" s="58" t="n">
        <x:f>Assumptions!$E$35-Assumptions!$E$35*(Assumptions!$B$51*Assumptions!$E$21+Assumptions!$B$52*Assumptions!$E$21+Assumptions!$B$53*Assumptions!$E$22+Assumptions!$B$54*Assumptions!$E$23+Assumptions!$B$55*Assumptions!$E$21+Assumptions!$B$56*Assumptions!$E$24+Assumptions!$B$57*F$4+Assumptions!$B$58*Assumptions!$E$26)-(Assumptions!$E$35/Assumptions!$E$18)*Assumptions!$B$65*$A6-12*(Assumptions!$E$29+Assumptions!$E$30+Assumptions!$E$31+Assumptions!$E$32)</x:f>
        <x:v>27892500</x:v>
      </x:c>
      <x:c r="G6" s="57"/>
    </x:row>
    <x:row r="7">
      <x:c r="A7" s="58" t="n">
        <x:v>7500</x:v>
      </x:c>
      <x:c r="B7" s="58" t="n">
        <x:f>Assumptions!$E$35-Assumptions!$E$35*(Assumptions!$B$51*Assumptions!$E$21+Assumptions!$B$52*Assumptions!$E$21+Assumptions!$B$53*Assumptions!$E$22+Assumptions!$B$54*Assumptions!$E$23+Assumptions!$B$55*Assumptions!$E$21+Assumptions!$B$56*Assumptions!$E$24+Assumptions!$B$57*B$4+Assumptions!$B$58*Assumptions!$E$26)-(Assumptions!$E$35/Assumptions!$E$18)*Assumptions!$B$65*$A7-12*(Assumptions!$E$29+Assumptions!$E$30+Assumptions!$E$31+Assumptions!$E$32)</x:f>
        <x:v>33060000</x:v>
      </x:c>
      <x:c r="C7" s="58" t="n">
        <x:f>Assumptions!$E$35-Assumptions!$E$35*(Assumptions!$B$51*Assumptions!$E$21+Assumptions!$B$52*Assumptions!$E$21+Assumptions!$B$53*Assumptions!$E$22+Assumptions!$B$54*Assumptions!$E$23+Assumptions!$B$55*Assumptions!$E$21+Assumptions!$B$56*Assumptions!$E$24+Assumptions!$B$57*C$4+Assumptions!$B$58*Assumptions!$E$26)-(Assumptions!$E$35/Assumptions!$E$18)*Assumptions!$B$65*$A7-12*(Assumptions!$E$29+Assumptions!$E$30+Assumptions!$E$31+Assumptions!$E$32)</x:f>
        <x:v>31597500</x:v>
      </x:c>
      <x:c r="D7" s="58" t="n">
        <x:f>Assumptions!$E$35-Assumptions!$E$35*(Assumptions!$B$51*Assumptions!$E$21+Assumptions!$B$52*Assumptions!$E$21+Assumptions!$B$53*Assumptions!$E$22+Assumptions!$B$54*Assumptions!$E$23+Assumptions!$B$55*Assumptions!$E$21+Assumptions!$B$56*Assumptions!$E$24+Assumptions!$B$57*D$4+Assumptions!$B$58*Assumptions!$E$26)-(Assumptions!$E$35/Assumptions!$E$18)*Assumptions!$B$65*$A7-12*(Assumptions!$E$29+Assumptions!$E$30+Assumptions!$E$31+Assumptions!$E$32)</x:f>
        <x:v>30135000</x:v>
      </x:c>
      <x:c r="E7" s="58" t="n">
        <x:f>Assumptions!$E$35-Assumptions!$E$35*(Assumptions!$B$51*Assumptions!$E$21+Assumptions!$B$52*Assumptions!$E$21+Assumptions!$B$53*Assumptions!$E$22+Assumptions!$B$54*Assumptions!$E$23+Assumptions!$B$55*Assumptions!$E$21+Assumptions!$B$56*Assumptions!$E$24+Assumptions!$B$57*E$4+Assumptions!$B$58*Assumptions!$E$26)-(Assumptions!$E$35/Assumptions!$E$18)*Assumptions!$B$65*$A7-12*(Assumptions!$E$29+Assumptions!$E$30+Assumptions!$E$31+Assumptions!$E$32)</x:f>
        <x:v>28672500</x:v>
      </x:c>
      <x:c r="F7" s="58" t="n">
        <x:f>Assumptions!$E$35-Assumptions!$E$35*(Assumptions!$B$51*Assumptions!$E$21+Assumptions!$B$52*Assumptions!$E$21+Assumptions!$B$53*Assumptions!$E$22+Assumptions!$B$54*Assumptions!$E$23+Assumptions!$B$55*Assumptions!$E$21+Assumptions!$B$56*Assumptions!$E$24+Assumptions!$B$57*F$4+Assumptions!$B$58*Assumptions!$E$26)-(Assumptions!$E$35/Assumptions!$E$18)*Assumptions!$B$65*$A7-12*(Assumptions!$E$29+Assumptions!$E$30+Assumptions!$E$31+Assumptions!$E$32)</x:f>
        <x:v>27210000</x:v>
      </x:c>
      <x:c r="G7" s="57"/>
    </x:row>
    <x:row r="8">
      <x:c r="A8" s="58" t="n">
        <x:v>9000</x:v>
      </x:c>
      <x:c r="B8" s="58" t="n">
        <x:f>Assumptions!$E$35-Assumptions!$E$35*(Assumptions!$B$51*Assumptions!$E$21+Assumptions!$B$52*Assumptions!$E$21+Assumptions!$B$53*Assumptions!$E$22+Assumptions!$B$54*Assumptions!$E$23+Assumptions!$B$55*Assumptions!$E$21+Assumptions!$B$56*Assumptions!$E$24+Assumptions!$B$57*B$4+Assumptions!$B$58*Assumptions!$E$26)-(Assumptions!$E$35/Assumptions!$E$18)*Assumptions!$B$65*$A8-12*(Assumptions!$E$29+Assumptions!$E$30+Assumptions!$E$31+Assumptions!$E$32)</x:f>
        <x:v>32377500</x:v>
      </x:c>
      <x:c r="C8" s="58" t="n">
        <x:f>Assumptions!$E$35-Assumptions!$E$35*(Assumptions!$B$51*Assumptions!$E$21+Assumptions!$B$52*Assumptions!$E$21+Assumptions!$B$53*Assumptions!$E$22+Assumptions!$B$54*Assumptions!$E$23+Assumptions!$B$55*Assumptions!$E$21+Assumptions!$B$56*Assumptions!$E$24+Assumptions!$B$57*C$4+Assumptions!$B$58*Assumptions!$E$26)-(Assumptions!$E$35/Assumptions!$E$18)*Assumptions!$B$65*$A8-12*(Assumptions!$E$29+Assumptions!$E$30+Assumptions!$E$31+Assumptions!$E$32)</x:f>
        <x:v>30915000</x:v>
      </x:c>
      <x:c r="D8" s="58" t="n">
        <x:f>Assumptions!$E$35-Assumptions!$E$35*(Assumptions!$B$51*Assumptions!$E$21+Assumptions!$B$52*Assumptions!$E$21+Assumptions!$B$53*Assumptions!$E$22+Assumptions!$B$54*Assumptions!$E$23+Assumptions!$B$55*Assumptions!$E$21+Assumptions!$B$56*Assumptions!$E$24+Assumptions!$B$57*D$4+Assumptions!$B$58*Assumptions!$E$26)-(Assumptions!$E$35/Assumptions!$E$18)*Assumptions!$B$65*$A8-12*(Assumptions!$E$29+Assumptions!$E$30+Assumptions!$E$31+Assumptions!$E$32)</x:f>
        <x:v>29452500</x:v>
      </x:c>
      <x:c r="E8" s="58" t="n">
        <x:f>Assumptions!$E$35-Assumptions!$E$35*(Assumptions!$B$51*Assumptions!$E$21+Assumptions!$B$52*Assumptions!$E$21+Assumptions!$B$53*Assumptions!$E$22+Assumptions!$B$54*Assumptions!$E$23+Assumptions!$B$55*Assumptions!$E$21+Assumptions!$B$56*Assumptions!$E$24+Assumptions!$B$57*E$4+Assumptions!$B$58*Assumptions!$E$26)-(Assumptions!$E$35/Assumptions!$E$18)*Assumptions!$B$65*$A8-12*(Assumptions!$E$29+Assumptions!$E$30+Assumptions!$E$31+Assumptions!$E$32)</x:f>
        <x:v>27990000</x:v>
      </x:c>
      <x:c r="F8" s="58" t="n">
        <x:f>Assumptions!$E$35-Assumptions!$E$35*(Assumptions!$B$51*Assumptions!$E$21+Assumptions!$B$52*Assumptions!$E$21+Assumptions!$B$53*Assumptions!$E$22+Assumptions!$B$54*Assumptions!$E$23+Assumptions!$B$55*Assumptions!$E$21+Assumptions!$B$56*Assumptions!$E$24+Assumptions!$B$57*F$4+Assumptions!$B$58*Assumptions!$E$26)-(Assumptions!$E$35/Assumptions!$E$18)*Assumptions!$B$65*$A8-12*(Assumptions!$E$29+Assumptions!$E$30+Assumptions!$E$31+Assumptions!$E$32)</x:f>
        <x:v>26527500</x:v>
      </x:c>
      <x:c r="G8" s="57"/>
    </x:row>
    <x:row r="9">
      <x:c r="A9" s="58" t="n">
        <x:v>10500</x:v>
      </x:c>
      <x:c r="B9" s="58" t="n">
        <x:f>Assumptions!$E$35-Assumptions!$E$35*(Assumptions!$B$51*Assumptions!$E$21+Assumptions!$B$52*Assumptions!$E$21+Assumptions!$B$53*Assumptions!$E$22+Assumptions!$B$54*Assumptions!$E$23+Assumptions!$B$55*Assumptions!$E$21+Assumptions!$B$56*Assumptions!$E$24+Assumptions!$B$57*B$4+Assumptions!$B$58*Assumptions!$E$26)-(Assumptions!$E$35/Assumptions!$E$18)*Assumptions!$B$65*$A9-12*(Assumptions!$E$29+Assumptions!$E$30+Assumptions!$E$31+Assumptions!$E$32)</x:f>
        <x:v>31695000</x:v>
      </x:c>
      <x:c r="C9" s="58" t="n">
        <x:f>Assumptions!$E$35-Assumptions!$E$35*(Assumptions!$B$51*Assumptions!$E$21+Assumptions!$B$52*Assumptions!$E$21+Assumptions!$B$53*Assumptions!$E$22+Assumptions!$B$54*Assumptions!$E$23+Assumptions!$B$55*Assumptions!$E$21+Assumptions!$B$56*Assumptions!$E$24+Assumptions!$B$57*C$4+Assumptions!$B$58*Assumptions!$E$26)-(Assumptions!$E$35/Assumptions!$E$18)*Assumptions!$B$65*$A9-12*(Assumptions!$E$29+Assumptions!$E$30+Assumptions!$E$31+Assumptions!$E$32)</x:f>
        <x:v>30232500</x:v>
      </x:c>
      <x:c r="D9" s="58" t="n">
        <x:f>Assumptions!$E$35-Assumptions!$E$35*(Assumptions!$B$51*Assumptions!$E$21+Assumptions!$B$52*Assumptions!$E$21+Assumptions!$B$53*Assumptions!$E$22+Assumptions!$B$54*Assumptions!$E$23+Assumptions!$B$55*Assumptions!$E$21+Assumptions!$B$56*Assumptions!$E$24+Assumptions!$B$57*D$4+Assumptions!$B$58*Assumptions!$E$26)-(Assumptions!$E$35/Assumptions!$E$18)*Assumptions!$B$65*$A9-12*(Assumptions!$E$29+Assumptions!$E$30+Assumptions!$E$31+Assumptions!$E$32)</x:f>
        <x:v>28770000</x:v>
      </x:c>
      <x:c r="E9" s="58" t="n">
        <x:f>Assumptions!$E$35-Assumptions!$E$35*(Assumptions!$B$51*Assumptions!$E$21+Assumptions!$B$52*Assumptions!$E$21+Assumptions!$B$53*Assumptions!$E$22+Assumptions!$B$54*Assumptions!$E$23+Assumptions!$B$55*Assumptions!$E$21+Assumptions!$B$56*Assumptions!$E$24+Assumptions!$B$57*E$4+Assumptions!$B$58*Assumptions!$E$26)-(Assumptions!$E$35/Assumptions!$E$18)*Assumptions!$B$65*$A9-12*(Assumptions!$E$29+Assumptions!$E$30+Assumptions!$E$31+Assumptions!$E$32)</x:f>
        <x:v>27307500</x:v>
      </x:c>
      <x:c r="F9" s="58" t="n">
        <x:f>Assumptions!$E$35-Assumptions!$E$35*(Assumptions!$B$51*Assumptions!$E$21+Assumptions!$B$52*Assumptions!$E$21+Assumptions!$B$53*Assumptions!$E$22+Assumptions!$B$54*Assumptions!$E$23+Assumptions!$B$55*Assumptions!$E$21+Assumptions!$B$56*Assumptions!$E$24+Assumptions!$B$57*F$4+Assumptions!$B$58*Assumptions!$E$26)-(Assumptions!$E$35/Assumptions!$E$18)*Assumptions!$B$65*$A9-12*(Assumptions!$E$29+Assumptions!$E$30+Assumptions!$E$31+Assumptions!$E$32)</x:f>
        <x:v>25845000</x:v>
      </x:c>
      <x:c r="G9" s="57"/>
    </x:row>
    <x:row r="10">
      <x:c r="A10" s="58" t="n">
        <x:v>12000</x:v>
      </x:c>
      <x:c r="B10" s="58" t="n">
        <x:f>Assumptions!$E$35-Assumptions!$E$35*(Assumptions!$B$51*Assumptions!$E$21+Assumptions!$B$52*Assumptions!$E$21+Assumptions!$B$53*Assumptions!$E$22+Assumptions!$B$54*Assumptions!$E$23+Assumptions!$B$55*Assumptions!$E$21+Assumptions!$B$56*Assumptions!$E$24+Assumptions!$B$57*B$4+Assumptions!$B$58*Assumptions!$E$26)-(Assumptions!$E$35/Assumptions!$E$18)*Assumptions!$B$65*$A10-12*(Assumptions!$E$29+Assumptions!$E$30+Assumptions!$E$31+Assumptions!$E$32)</x:f>
        <x:v>31012500</x:v>
      </x:c>
      <x:c r="C10" s="58" t="n">
        <x:f>Assumptions!$E$35-Assumptions!$E$35*(Assumptions!$B$51*Assumptions!$E$21+Assumptions!$B$52*Assumptions!$E$21+Assumptions!$B$53*Assumptions!$E$22+Assumptions!$B$54*Assumptions!$E$23+Assumptions!$B$55*Assumptions!$E$21+Assumptions!$B$56*Assumptions!$E$24+Assumptions!$B$57*C$4+Assumptions!$B$58*Assumptions!$E$26)-(Assumptions!$E$35/Assumptions!$E$18)*Assumptions!$B$65*$A10-12*(Assumptions!$E$29+Assumptions!$E$30+Assumptions!$E$31+Assumptions!$E$32)</x:f>
        <x:v>29550000</x:v>
      </x:c>
      <x:c r="D10" s="58" t="n">
        <x:f>Assumptions!$E$35-Assumptions!$E$35*(Assumptions!$B$51*Assumptions!$E$21+Assumptions!$B$52*Assumptions!$E$21+Assumptions!$B$53*Assumptions!$E$22+Assumptions!$B$54*Assumptions!$E$23+Assumptions!$B$55*Assumptions!$E$21+Assumptions!$B$56*Assumptions!$E$24+Assumptions!$B$57*D$4+Assumptions!$B$58*Assumptions!$E$26)-(Assumptions!$E$35/Assumptions!$E$18)*Assumptions!$B$65*$A10-12*(Assumptions!$E$29+Assumptions!$E$30+Assumptions!$E$31+Assumptions!$E$32)</x:f>
        <x:v>28087500</x:v>
      </x:c>
      <x:c r="E10" s="58" t="n">
        <x:f>Assumptions!$E$35-Assumptions!$E$35*(Assumptions!$B$51*Assumptions!$E$21+Assumptions!$B$52*Assumptions!$E$21+Assumptions!$B$53*Assumptions!$E$22+Assumptions!$B$54*Assumptions!$E$23+Assumptions!$B$55*Assumptions!$E$21+Assumptions!$B$56*Assumptions!$E$24+Assumptions!$B$57*E$4+Assumptions!$B$58*Assumptions!$E$26)-(Assumptions!$E$35/Assumptions!$E$18)*Assumptions!$B$65*$A10-12*(Assumptions!$E$29+Assumptions!$E$30+Assumptions!$E$31+Assumptions!$E$32)</x:f>
        <x:v>26625000</x:v>
      </x:c>
      <x:c r="F10" s="58" t="n">
        <x:f>Assumptions!$E$35-Assumptions!$E$35*(Assumptions!$B$51*Assumptions!$E$21+Assumptions!$B$52*Assumptions!$E$21+Assumptions!$B$53*Assumptions!$E$22+Assumptions!$B$54*Assumptions!$E$23+Assumptions!$B$55*Assumptions!$E$21+Assumptions!$B$56*Assumptions!$E$24+Assumptions!$B$57*F$4+Assumptions!$B$58*Assumptions!$E$26)-(Assumptions!$E$35/Assumptions!$E$18)*Assumptions!$B$65*$A10-12*(Assumptions!$E$29+Assumptions!$E$30+Assumptions!$E$31+Assumptions!$E$32)</x:f>
        <x:v>25162500</x:v>
      </x:c>
      <x:c r="G10" s="57"/>
    </x:row>
    <x:row r="11">
      <x:c r="A11" s="48"/>
      <x:c r="B11" s="48"/>
      <x:c r="C11" s="48"/>
      <x:c r="D11" s="48"/>
      <x:c r="E11" s="48"/>
      <x:c r="F11" s="48"/>
      <x:c r="G11" s="48"/>
    </x:row>
    <x:row r="12">
      <x:c r="A12" s="48"/>
      <x:c r="B12" s="48"/>
      <x:c r="C12" s="48"/>
      <x:c r="D12" s="48"/>
      <x:c r="E12" s="48"/>
      <x:c r="F12" s="48"/>
      <x:c r="G12" s="48"/>
    </x:row>
    <x:row r="13" ht="24" customHeight="1">
      <x:c r="A13" s="37" t="str">
        <x:v>Что проверять в первую очередь</x:v>
      </x:c>
      <x:c r="B13" s="37"/>
      <x:c r="C13" s="37"/>
      <x:c r="D13" s="37"/>
      <x:c r="E13" s="37"/>
      <x:c r="F13" s="37"/>
      <x:c r="G13" s="37"/>
    </x:row>
    <x:row r="14" ht="28" customHeight="1">
      <x:c r="A14" s="18" t="str">
        <x:v>Показатель</x:v>
      </x:c>
      <x:c r="B14" s="18" t="str">
        <x:v>Почему важен</x:v>
      </x:c>
      <x:c r="C14" s="18" t="str">
        <x:v>Как заменить гипотезу фактом</x:v>
      </x:c>
      <x:c r="D14" s="48"/>
      <x:c r="E14" s="48"/>
      <x:c r="F14" s="48"/>
      <x:c r="G14" s="48"/>
    </x:row>
    <x:row r="15" ht="46" customHeight="1">
      <x:c r="A15" s="22" t="str">
        <x:v>Название параметра</x:v>
      </x:c>
      <x:c r="B15" s="22" t="str">
        <x:v>Как влияет на прибыль</x:v>
      </x:c>
      <x:c r="C15" s="22" t="str">
        <x:v>Какой тест провести после запуска</x:v>
      </x:c>
      <x:c r="D15" s="48"/>
      <x:c r="E15" s="48"/>
      <x:c r="F15" s="48"/>
      <x:c r="G15" s="48"/>
    </x:row>
    <x:row r="16">
      <x:c r="A16" s="26" t="str">
        <x:v>Стоимость потенциального клиента</x:v>
      </x:c>
      <x:c r="B16" s="26" t="str">
        <x:v>Определяет бюджет платного привлечения</x:v>
      </x:c>
      <x:c r="C16" s="26" t="str">
        <x:v>Считать отдельно по каждому рекламному каналу</x:v>
      </x:c>
      <x:c r="D16" s="48"/>
      <x:c r="E16" s="48"/>
      <x:c r="F16" s="48"/>
      <x:c r="G16" s="48"/>
    </x:row>
    <x:row r="17">
      <x:c r="A17" s="26" t="str">
        <x:v>Себестоимость сопровождения</x:v>
      </x:c>
      <x:c r="B17" s="26" t="str">
        <x:v>Главный фактор маржи крупного чека</x:v>
      </x:c>
      <x:c r="C17" s="26" t="str">
        <x:v>Измерить время РП, технадзора и гарантий</x:v>
      </x:c>
      <x:c r="D17" s="48"/>
      <x:c r="E17" s="48"/>
      <x:c r="F17" s="48"/>
      <x:c r="G17" s="48"/>
    </x:row>
    <x:row r="18">
      <x:c r="A18" s="26" t="str">
        <x:v>Стоимость AI</x:v>
      </x:c>
      <x:c r="B18" s="26" t="str">
        <x:v>Может снизить маржу тарифа 990 ₽</x:v>
      </x:c>
      <x:c r="C18" s="26" t="str">
        <x:v>Вести стоимость на активного клиента и действие AI</x:v>
      </x:c>
      <x:c r="D18" s="48"/>
      <x:c r="E18" s="48"/>
      <x:c r="F18" s="48"/>
      <x:c r="G18" s="48"/>
    </x:row>
  </x:sheetData>
  <x:mergeCells>
    <x:mergeCell ref="A1:G1"/>
    <x:mergeCell ref="A2:G2"/>
    <x:mergeCell ref="A13:G13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17" hidden="0" customWidth="1"/>
    <x:col min="3" max="3" width="19" hidden="0" customWidth="1"/>
    <x:col min="4" max="4" width="50" hidden="0" customWidth="1"/>
    <x:col min="5" max="5" width="45" hidden="0" customWidth="1"/>
    <x:col min="6" max="6" width="18" hidden="0" customWidth="1"/>
  </x:cols>
  <x:sheetData>
    <x:row r="1" ht="32" customHeight="1">
      <x:c r="A1" s="45" t="str">
        <x:v>Использование инвестиционного раунда 25 млн ₽</x:v>
      </x:c>
      <x:c r="B1" s="45"/>
      <x:c r="C1" s="45"/>
      <x:c r="D1" s="45"/>
      <x:c r="E1" s="45"/>
      <x:c r="F1" s="45"/>
    </x:row>
    <x:row r="2" ht="34" customHeight="1">
      <x:c r="A2" s="7" t="str">
        <x:v>Лист показывает, куда планируется направить привлечённые деньги и какой измеримый результат должен открыть следующий этап расходов.</x:v>
      </x:c>
      <x:c r="B2" s="7"/>
      <x:c r="C2" s="7"/>
      <x:c r="D2" s="7"/>
      <x:c r="E2" s="7"/>
      <x:c r="F2" s="7"/>
    </x:row>
    <x:row r="3">
      <x:c r="A3" s="48"/>
      <x:c r="B3" s="48"/>
      <x:c r="C3" s="48"/>
      <x:c r="D3" s="48"/>
      <x:c r="E3" s="48"/>
      <x:c r="F3" s="48"/>
    </x:row>
    <x:row r="4" ht="28" customHeight="1">
      <x:c r="A4" s="18" t="str">
        <x:v>Направление</x:v>
      </x:c>
      <x:c r="B4" s="18" t="str">
        <x:v>Доля раунда</x:v>
      </x:c>
      <x:c r="C4" s="18" t="str">
        <x:v>Сумма</x:v>
      </x:c>
      <x:c r="D4" s="18" t="str">
        <x:v>Что финансируется</x:v>
      </x:c>
      <x:c r="E4" s="18" t="str">
        <x:v>Условие следующего этапа</x:v>
      </x:c>
      <x:c r="F4" s="18" t="str">
        <x:v>Статус</x:v>
      </x:c>
    </x:row>
    <x:row r="5" ht="46" customHeight="1">
      <x:c r="A5" s="22" t="str">
        <x:v>Куда идут деньги</x:v>
      </x:c>
      <x:c r="B5" s="22" t="str">
        <x:v>Часть от 25 млн ₽</x:v>
      </x:c>
      <x:c r="C5" s="22" t="str">
        <x:v>Доля × размер раунда</x:v>
      </x:c>
      <x:c r="D5" s="22" t="str">
        <x:v>Конкретные работы и ресурсы</x:v>
      </x:c>
      <x:c r="E5" s="22" t="str">
        <x:v>Какой результат нужно подтвердить до увеличения расходов</x:v>
      </x:c>
      <x:c r="F5" s="22" t="str">
        <x:v>Текущий тип строки</x:v>
      </x:c>
    </x:row>
    <x:row r="6">
      <x:c r="A6" s="26" t="str">
        <x:v>Привлечение клиентов</x:v>
      </x:c>
      <x:c r="B6" s="40" t="n">
        <x:v>0.45</x:v>
      </x:c>
      <x:c r="C6" s="42" t="n">
        <x:f>B6*Assumptions!$C$34</x:f>
        <x:v>11250000</x:v>
      </x:c>
      <x:c r="D6" s="26" t="str">
        <x:v>Платные каналы, контент и партнёрские запуски</x:v>
      </x:c>
      <x:c r="E6" s="26" t="str">
        <x:v>CAC и конверсия по каждому каналу</x:v>
      </x:c>
      <x:c r="F6" s="26" t="str">
        <x:v>План</x:v>
      </x:c>
    </x:row>
    <x:row r="7">
      <x:c r="A7" s="26" t="str">
        <x:v>Продукт</x:v>
      </x:c>
      <x:c r="B7" s="40" t="n">
        <x:v>0.25</x:v>
      </x:c>
      <x:c r="C7" s="42" t="n">
        <x:f>B7*Assumptions!$C$34</x:f>
        <x:v>6250000</x:v>
      </x:c>
      <x:c r="D7" s="26" t="str">
        <x:v>Приложение, платежи, кабинеты, ERP, данные и обучение AI</x:v>
      </x:c>
      <x:c r="E7" s="26" t="str">
        <x:v>Активация и удержание на второй и третий месяц</x:v>
      </x:c>
      <x:c r="F7" s="26" t="str">
        <x:v>План</x:v>
      </x:c>
    </x:row>
    <x:row r="8">
      <x:c r="A8" s="26" t="str">
        <x:v>Команда и операции</x:v>
      </x:c>
      <x:c r="B8" s="40" t="n">
        <x:v>0.2</x:v>
      </x:c>
      <x:c r="C8" s="42" t="n">
        <x:f>B8*Assumptions!$C$34</x:f>
        <x:v>5000000</x:v>
      </x:c>
      <x:c r="D8" s="26" t="str">
        <x:v>Продажи, BizDev, руководители проектов и контроль качества</x:v>
      </x:c>
      <x:c r="E8" s="26" t="str">
        <x:v>Выручка и активные объекты на сотрудника</x:v>
      </x:c>
      <x:c r="F8" s="26" t="str">
        <x:v>План</x:v>
      </x:c>
    </x:row>
    <x:row r="9">
      <x:c r="A9" s="26" t="str">
        <x:v>Резерв</x:v>
      </x:c>
      <x:c r="B9" s="40" t="n">
        <x:v>0.1</x:v>
      </x:c>
      <x:c r="C9" s="42" t="n">
        <x:f>B9*Assumptions!$C$34</x:f>
        <x:v>2500000</x:v>
      </x:c>
      <x:c r="D9" s="26" t="str">
        <x:v>Кассовые разрывы и непредвиденные расходы</x:v>
      </x:c>
      <x:c r="E9" s="26" t="str">
        <x:v>Минимальный денежный остаток</x:v>
      </x:c>
      <x:c r="F9" s="26" t="str">
        <x:v>План</x:v>
      </x:c>
    </x:row>
    <x:row r="10">
      <x:c r="A10" s="84" t="str">
        <x:v>Итого</x:v>
      </x:c>
      <x:c r="B10" s="88" t="n">
        <x:v>1</x:v>
      </x:c>
      <x:c r="C10" s="86" t="n">
        <x:f>B10*Assumptions!$C$34</x:f>
        <x:v>25000000</x:v>
      </x:c>
      <x:c r="D10" s="84" t="str"/>
      <x:c r="E10" s="84" t="str"/>
      <x:c r="F10" s="84" t="str">
        <x:v>Контроль 100%</x:v>
      </x:c>
    </x:row>
    <x:row r="11">
      <x:c r="A11" s="48"/>
      <x:c r="B11" s="48"/>
      <x:c r="C11" s="48"/>
      <x:c r="D11" s="48"/>
      <x:c r="E11" s="48"/>
      <x:c r="F11" s="48"/>
    </x:row>
    <x:row r="12">
      <x:c r="A12" s="48"/>
      <x:c r="B12" s="48"/>
      <x:c r="C12" s="48"/>
      <x:c r="D12" s="48"/>
      <x:c r="E12" s="48"/>
      <x:c r="F12" s="48"/>
    </x:row>
    <x:row r="13" ht="24" customHeight="1">
      <x:c r="A13" s="37" t="str">
        <x:v>Контрольные этапы расходов</x:v>
      </x:c>
      <x:c r="B13" s="37"/>
      <x:c r="C13" s="37"/>
      <x:c r="D13" s="37"/>
      <x:c r="E13" s="37"/>
      <x:c r="F13" s="37"/>
    </x:row>
    <x:row r="14" ht="28" customHeight="1">
      <x:c r="A14" s="18" t="str">
        <x:v>Этап</x:v>
      </x:c>
      <x:c r="B14" s="18" t="str">
        <x:v>Что проверяем</x:v>
      </x:c>
      <x:c r="C14" s="18" t="str">
        <x:v>Решение</x:v>
      </x:c>
      <x:c r="D14" s="48"/>
      <x:c r="E14" s="48"/>
      <x:c r="F14" s="48"/>
    </x:row>
    <x:row r="15" ht="46" customHeight="1">
      <x:c r="A15" s="22" t="str">
        <x:v>Количество оплат</x:v>
      </x:c>
      <x:c r="B15" s="22" t="str">
        <x:v>Какие показатели должны стать фактом</x:v>
      </x:c>
      <x:c r="C15" s="22" t="str">
        <x:v>Когда можно увеличивать бюджет</x:v>
      </x:c>
      <x:c r="D15" s="48"/>
      <x:c r="E15" s="48"/>
      <x:c r="F15" s="48"/>
    </x:row>
    <x:row r="16">
      <x:c r="A16" s="26" t="str">
        <x:v>100 оплат</x:v>
      </x:c>
      <x:c r="B16" s="26" t="str">
        <x:v>Конверсия, CAC, AI-cost и причины отказов</x:v>
      </x:c>
      <x:c r="C16" s="26" t="str">
        <x:v>Оставить или изменить оффер</x:v>
      </x:c>
      <x:c r="D16" s="48"/>
      <x:c r="E16" s="48"/>
      <x:c r="F16" s="48"/>
    </x:row>
    <x:row r="17">
      <x:c r="A17" s="26" t="str">
        <x:v>1 000 оплат</x:v>
      </x:c>
      <x:c r="B17" s="26" t="str">
        <x:v>Удержание, апгрейд, поддержка и маржа</x:v>
      </x:c>
      <x:c r="C17" s="26" t="str">
        <x:v>Масштабировать подтверждённые каналы</x:v>
      </x:c>
      <x:c r="D17" s="48"/>
      <x:c r="E17" s="48"/>
      <x:c r="F17" s="48"/>
    </x:row>
    <x:row r="18">
      <x:c r="A18" s="26" t="str">
        <x:v>10 000 оплат</x:v>
      </x:c>
      <x:c r="B18" s="26" t="str">
        <x:v>Повторяемость каналов и качество в нескольких городах</x:v>
      </x:c>
      <x:c r="C18" s="26" t="str">
        <x:v>Расширять географию и команду</x:v>
      </x:c>
      <x:c r="D18" s="48"/>
      <x:c r="E18" s="48"/>
      <x:c r="F18" s="48"/>
    </x:row>
    <x:row r="19">
      <x:c r="A19" s="26" t="str">
        <x:v>Правило</x:v>
      </x:c>
      <x:c r="B19" s="26" t="str">
        <x:v>Следующий бюджет открывается только после проверки предыдущего этапа</x:v>
      </x:c>
      <x:c r="C19" s="26" t="str">
        <x:v>Остановить неокупаемый канал</x:v>
      </x:c>
      <x:c r="D19" s="48"/>
      <x:c r="E19" s="48"/>
      <x:c r="F19" s="48"/>
    </x:row>
  </x:sheetData>
  <x:mergeCells>
    <x:mergeCell ref="A1:F1"/>
    <x:mergeCell ref="A2:F2"/>
    <x:mergeCell ref="A13:F13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22" hidden="0" customWidth="1"/>
    <x:col min="3" max="3" width="22" hidden="0" customWidth="1"/>
    <x:col min="4" max="4" width="18" hidden="0" customWidth="1"/>
  </x:cols>
  <x:sheetData>
    <x:row r="1" ht="32" customHeight="1">
      <x:c r="A1" s="45" t="str">
        <x:v>Контрольные проверки модели</x:v>
      </x:c>
      <x:c r="B1" s="45"/>
      <x:c r="C1" s="45"/>
      <x:c r="D1" s="45"/>
    </x:row>
    <x:row r="2" ht="34" customHeight="1">
      <x:c r="A2" s="7" t="str">
        <x:v>Технический лист проверяет, что ключевые суммы сходятся. Другие листы не используют результаты этих проверок.</x:v>
      </x:c>
      <x:c r="B2" s="7"/>
      <x:c r="C2" s="7"/>
      <x:c r="D2" s="7"/>
    </x:row>
    <x:row r="3">
      <x:c r="A3" s="48"/>
      <x:c r="B3" s="48"/>
      <x:c r="C3" s="48"/>
      <x:c r="D3" s="48"/>
    </x:row>
    <x:row r="4" ht="28" customHeight="1">
      <x:c r="A4" s="18" t="str">
        <x:v>Проверка</x:v>
      </x:c>
      <x:c r="B4" s="18" t="str">
        <x:v>Результат</x:v>
      </x:c>
      <x:c r="C4" s="18" t="str">
        <x:v>Ожидание</x:v>
      </x:c>
      <x:c r="D4" s="18" t="str">
        <x:v>Статус</x:v>
      </x:c>
    </x:row>
    <x:row r="5" ht="46" customHeight="1">
      <x:c r="A5" s="22" t="str">
        <x:v>Что сверяется</x:v>
      </x:c>
      <x:c r="B5" s="22" t="str">
        <x:v>Фактическое значение</x:v>
      </x:c>
      <x:c r="C5" s="22" t="str">
        <x:v>Правильное значение</x:v>
      </x:c>
      <x:c r="D5" s="22" t="str">
        <x:v>OK означает отсутствие расхождения</x:v>
      </x:c>
    </x:row>
    <x:row r="6">
      <x:c r="A6" s="57" t="str">
        <x:v>Микс выручки года 1 = 100%</x:v>
      </x:c>
      <x:c r="B6" s="314" t="n">
        <x:f>SUM(Assumptions!B51:B58)</x:f>
        <x:v>1</x:v>
      </x:c>
      <x:c r="C6" s="314" t="n">
        <x:v>1</x:v>
      </x:c>
      <x:c r="D6" s="57" t="str">
        <x:f>IF(ABS(B6-C6)&lt;0.01,"OK","ПРОВЕРИТЬ")</x:f>
        <x:v>OK</x:v>
      </x:c>
    </x:row>
    <x:row r="7">
      <x:c r="A7" s="57" t="str">
        <x:v>Микс выручки года 2 = 100%</x:v>
      </x:c>
      <x:c r="B7" s="314" t="n">
        <x:f>SUM(Assumptions!C51:C58)</x:f>
        <x:v>1</x:v>
      </x:c>
      <x:c r="C7" s="314" t="n">
        <x:v>1</x:v>
      </x:c>
      <x:c r="D7" s="57" t="str">
        <x:f>IF(ABS(B7-C7)&lt;0.01,"OK","ПРОВЕРИТЬ")</x:f>
        <x:v>OK</x:v>
      </x:c>
    </x:row>
    <x:row r="8">
      <x:c r="A8" s="57" t="str">
        <x:v>Микс выручки года 3 = 100%</x:v>
      </x:c>
      <x:c r="B8" s="314" t="n">
        <x:f>SUM(Assumptions!D51:D58)</x:f>
        <x:v>1.0000000000000002</x:v>
      </x:c>
      <x:c r="C8" s="314" t="n">
        <x:v>1</x:v>
      </x:c>
      <x:c r="D8" s="57" t="str">
        <x:f>IF(ABS(B8-C8)&lt;0.01,"OK","ПРОВЕРИТЬ")</x:f>
        <x:v>OK</x:v>
      </x:c>
    </x:row>
    <x:row r="9">
      <x:c r="A9" s="57" t="str">
        <x:v>Микс выручки года 4 = 100%</x:v>
      </x:c>
      <x:c r="B9" s="314" t="n">
        <x:f>SUM(Assumptions!E51:E58)</x:f>
        <x:v>1</x:v>
      </x:c>
      <x:c r="C9" s="314" t="n">
        <x:v>1</x:v>
      </x:c>
      <x:c r="D9" s="57" t="str">
        <x:f>IF(ABS(B9-C9)&lt;0.01,"OK","ПРОВЕРИТЬ")</x:f>
        <x:v>OK</x:v>
      </x:c>
    </x:row>
    <x:row r="10">
      <x:c r="A10" s="57" t="str">
        <x:v>Микс выручки года 5 = 100%</x:v>
      </x:c>
      <x:c r="B10" s="314" t="n">
        <x:f>SUM(Assumptions!F51:F58)</x:f>
        <x:v>1.0000000000000002</x:v>
      </x:c>
      <x:c r="C10" s="314" t="n">
        <x:v>1</x:v>
      </x:c>
      <x:c r="D10" s="57" t="str">
        <x:f>IF(ABS(B10-C10)&lt;0.01,"OK","ПРОВЕРИТЬ")</x:f>
        <x:v>OK</x:v>
      </x:c>
    </x:row>
    <x:row r="11">
      <x:c r="A11" s="57" t="str">
        <x:v>Микс каналов = 100%</x:v>
      </x:c>
      <x:c r="B11" s="314" t="n">
        <x:f>SUM(Assumptions!B65:B68)</x:f>
        <x:v>1</x:v>
      </x:c>
      <x:c r="C11" s="314" t="n">
        <x:v>1</x:v>
      </x:c>
      <x:c r="D11" s="57" t="str">
        <x:f>IF(ABS(B11-C11)&lt;0.01,"OK","ПРОВЕРИТЬ")</x:f>
        <x:v>OK</x:v>
      </x:c>
    </x:row>
    <x:row r="12">
      <x:c r="A12" s="57" t="str">
        <x:v>Распределение раунда = 100%</x:v>
      </x:c>
      <x:c r="B12" s="314" t="n">
        <x:f>SUM(Investment!B6:B9)</x:f>
        <x:v>0.9999999999999999</x:v>
      </x:c>
      <x:c r="C12" s="314" t="n">
        <x:v>1</x:v>
      </x:c>
      <x:c r="D12" s="57" t="str">
        <x:f>IF(ABS(B12-C12)&lt;0.01,"OK","ПРОВЕРИТЬ")</x:f>
        <x:v>OK</x:v>
      </x:c>
    </x:row>
    <x:row r="13">
      <x:c r="A13" s="57" t="str">
        <x:v>В модели 60 месяцев</x:v>
      </x:c>
      <x:c r="B13" s="314" t="n">
        <x:f>COUNT(Revenue!A6:A65)</x:f>
        <x:v>60</x:v>
      </x:c>
      <x:c r="C13" s="314" t="n">
        <x:v>60</x:v>
      </x:c>
      <x:c r="D13" s="57" t="str">
        <x:f>IF(ABS(B13-C13)&lt;0.01,"OK","ПРОВЕРИТЬ")</x:f>
        <x:v>OK</x:v>
      </x:c>
    </x:row>
    <x:row r="14">
      <x:c r="A14" s="57" t="str">
        <x:v>Выручка года 1 сходится</x:v>
      </x:c>
      <x:c r="B14" s="314" t="n">
        <x:f>Revenue!B71</x:f>
        <x:v>65000000</x:v>
      </x:c>
      <x:c r="C14" s="314" t="n">
        <x:f>'P&amp;L and Cash'!C7</x:f>
        <x:v>65000000</x:v>
      </x:c>
      <x:c r="D14" s="57" t="str">
        <x:f>IF(ABS(B14-C14)&lt;0.01,"OK","ПРОВЕРИТЬ")</x:f>
        <x:v>OK</x:v>
      </x:c>
    </x:row>
    <x:row r="15">
      <x:c r="A15" s="57" t="str">
        <x:v>Выручка года 5 сходится</x:v>
      </x:c>
      <x:c r="B15" s="314" t="n">
        <x:f>Revenue!B75</x:f>
        <x:v>362000000.00000685</x:v>
      </x:c>
      <x:c r="C15" s="314" t="n">
        <x:f>'P&amp;L and Cash'!G7</x:f>
        <x:v>362000000.00000685</x:v>
      </x:c>
      <x:c r="D15" s="57" t="str">
        <x:f>IF(ABS(B15-C15)&lt;0.01,"OK","ПРОВЕРИТЬ")</x:f>
        <x:v>OK</x:v>
      </x:c>
    </x:row>
    <x:row r="16">
      <x:c r="A16" s="57" t="str">
        <x:v>Раунд = 25 млн ₽</x:v>
      </x:c>
      <x:c r="B16" s="314" t="n">
        <x:f>Assumptions!C34</x:f>
        <x:v>25000000</x:v>
      </x:c>
      <x:c r="C16" s="314" t="n">
        <x:v>25000000</x:v>
      </x:c>
      <x:c r="D16" s="57" t="str">
        <x:f>IF(ABS(B16-C16)&lt;0.01,"OK","ПРОВЕРИТЬ")</x:f>
        <x:v>OK</x:v>
      </x:c>
    </x:row>
    <x:row r="17">
      <x:c r="A17" s="57" t="str">
        <x:v>Начальный cash roll-forward</x:v>
      </x:c>
      <x:c r="B17" s="314" t="n">
        <x:f>'P&amp;L and Cash'!I42</x:f>
        <x:v>27474500</x:v>
      </x:c>
      <x:c r="C17" s="314" t="n">
        <x:f>'P&amp;L and Cash'!I39+'P&amp;L and Cash'!I40+'P&amp;L and Cash'!I41</x:f>
        <x:v>27474500</x:v>
      </x:c>
      <x:c r="D17" s="57" t="str">
        <x:f>IF(ABS(B17-C17)&lt;0.01,"OK","ПРОВЕРИТЬ")</x:f>
        <x:v>OK</x:v>
      </x:c>
    </x:row>
    <x:row r="18">
      <x:c r="A18" s="26" t="str">
        <x:v>Поток инвестора начинается с −25 млн ₽</x:v>
      </x:c>
      <x:c r="B18" s="329" t="n">
        <x:f>-Summary!G47</x:f>
        <x:v>25000000</x:v>
      </x:c>
      <x:c r="C18" s="329" t="n">
        <x:f>Assumptions!C34</x:f>
        <x:v>25000000</x:v>
      </x:c>
      <x:c r="D18" s="26" t="str">
        <x:f>IF(ABS(B18-C18)&lt;0.01,"OK","CHECK")</x:f>
        <x:v>OK</x:v>
      </x:c>
    </x:row>
    <x:row r="19">
      <x:c r="A19" s="26" t="str">
        <x:v>Терминальный поток инвестора положительный</x:v>
      </x:c>
      <x:c r="B19" s="26" t="n">
        <x:f>IF(Summary!L47&gt;0,1,0)</x:f>
        <x:v>1</x:v>
      </x:c>
      <x:c r="C19" s="26" t="n">
        <x:v>1</x:v>
      </x:c>
      <x:c r="D19" s="26" t="str">
        <x:f>IF(B19=C19,"OK","CHECK")</x:f>
        <x:v>OK</x:v>
      </x:c>
    </x:row>
  </x:sheetData>
  <x:mergeCells>
    <x:mergeCell ref="A1:D1"/>
    <x:mergeCell ref="A2:D2"/>
  </x:mergeCells>
  <x:pageMargins left="0.7" right="0.7" top="0.75" bottom="0.75" header="0.3" footer="0.3"/>
</x:worksheet>
</file>